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0 MUNT Hypotheken\"/>
    </mc:Choice>
  </mc:AlternateContent>
  <workbookProtection workbookPassword="E532" lockStructure="1"/>
  <bookViews>
    <workbookView xWindow="0" yWindow="0" windowWidth="28800" windowHeight="11835"/>
  </bookViews>
  <sheets>
    <sheet name="Dashboard" sheetId="2" r:id="rId1"/>
    <sheet name="Betalingstabel" sheetId="1" state="hidden" r:id="rId2"/>
  </sheets>
  <definedNames>
    <definedName name="_xlnm.Print_Area" localSheetId="0">Dashboard!$B$2:$V$42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2" l="1"/>
  <c r="L26" i="2"/>
  <c r="I29" i="2" l="1"/>
  <c r="K29" i="2" s="1"/>
  <c r="J11" i="1" l="1"/>
  <c r="K11" i="1" s="1"/>
  <c r="AC12" i="1" l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11" i="1"/>
  <c r="Q11" i="1" l="1"/>
  <c r="W11" i="1" s="1"/>
  <c r="Z21" i="1"/>
  <c r="AA21" i="1" s="1"/>
  <c r="AB21" i="1" s="1"/>
  <c r="Z22" i="1"/>
  <c r="AA22" i="1" s="1"/>
  <c r="AB22" i="1" s="1"/>
  <c r="Z23" i="1"/>
  <c r="AA23" i="1" s="1"/>
  <c r="AB23" i="1" s="1"/>
  <c r="Z24" i="1"/>
  <c r="AA24" i="1" s="1"/>
  <c r="AB24" i="1" s="1"/>
  <c r="Z25" i="1"/>
  <c r="Z26" i="1"/>
  <c r="AA26" i="1" s="1"/>
  <c r="AB26" i="1" s="1"/>
  <c r="Z27" i="1"/>
  <c r="Z28" i="1"/>
  <c r="Z29" i="1"/>
  <c r="Z30" i="1"/>
  <c r="Z31" i="1"/>
  <c r="AA31" i="1" s="1"/>
  <c r="AB31" i="1" s="1"/>
  <c r="Z32" i="1"/>
  <c r="AA32" i="1" s="1"/>
  <c r="AB32" i="1" s="1"/>
  <c r="Z33" i="1"/>
  <c r="AA33" i="1" s="1"/>
  <c r="AB33" i="1" s="1"/>
  <c r="Z34" i="1"/>
  <c r="AA34" i="1" s="1"/>
  <c r="AB34" i="1" s="1"/>
  <c r="Z35" i="1"/>
  <c r="AA35" i="1" s="1"/>
  <c r="AB35" i="1" s="1"/>
  <c r="Z36" i="1"/>
  <c r="AA36" i="1" s="1"/>
  <c r="AB36" i="1" s="1"/>
  <c r="Z37" i="1"/>
  <c r="Z38" i="1"/>
  <c r="Z39" i="1"/>
  <c r="Z40" i="1"/>
  <c r="Z41" i="1"/>
  <c r="Z42" i="1"/>
  <c r="Z43" i="1"/>
  <c r="AA43" i="1" s="1"/>
  <c r="AB43" i="1" s="1"/>
  <c r="Z44" i="1"/>
  <c r="AA44" i="1" s="1"/>
  <c r="AB44" i="1" s="1"/>
  <c r="Z45" i="1"/>
  <c r="AA45" i="1" s="1"/>
  <c r="AB45" i="1" s="1"/>
  <c r="Z46" i="1"/>
  <c r="AA46" i="1" s="1"/>
  <c r="AB46" i="1" s="1"/>
  <c r="Z47" i="1"/>
  <c r="AA47" i="1" s="1"/>
  <c r="AB47" i="1" s="1"/>
  <c r="Z48" i="1"/>
  <c r="AA48" i="1" s="1"/>
  <c r="AB48" i="1" s="1"/>
  <c r="Z49" i="1"/>
  <c r="Z50" i="1"/>
  <c r="Z51" i="1"/>
  <c r="Z52" i="1"/>
  <c r="Z53" i="1"/>
  <c r="Z54" i="1"/>
  <c r="Z55" i="1"/>
  <c r="AA55" i="1" s="1"/>
  <c r="AB55" i="1" s="1"/>
  <c r="Z56" i="1"/>
  <c r="AA56" i="1" s="1"/>
  <c r="AB56" i="1" s="1"/>
  <c r="Z57" i="1"/>
  <c r="AA57" i="1" s="1"/>
  <c r="AB57" i="1" s="1"/>
  <c r="Z58" i="1"/>
  <c r="AA58" i="1" s="1"/>
  <c r="AB58" i="1" s="1"/>
  <c r="Z59" i="1"/>
  <c r="AA59" i="1" s="1"/>
  <c r="AB59" i="1" s="1"/>
  <c r="Z60" i="1"/>
  <c r="AA60" i="1" s="1"/>
  <c r="AB60" i="1" s="1"/>
  <c r="Z61" i="1"/>
  <c r="Z62" i="1"/>
  <c r="Z63" i="1"/>
  <c r="Z64" i="1"/>
  <c r="Z65" i="1"/>
  <c r="Z66" i="1"/>
  <c r="Z67" i="1"/>
  <c r="AA67" i="1" s="1"/>
  <c r="AB67" i="1" s="1"/>
  <c r="Z68" i="1"/>
  <c r="AA68" i="1" s="1"/>
  <c r="AB68" i="1" s="1"/>
  <c r="Z69" i="1"/>
  <c r="AA69" i="1" s="1"/>
  <c r="AB69" i="1" s="1"/>
  <c r="Z70" i="1"/>
  <c r="AA70" i="1" s="1"/>
  <c r="AB70" i="1" s="1"/>
  <c r="Z71" i="1"/>
  <c r="AA71" i="1" s="1"/>
  <c r="AB71" i="1" s="1"/>
  <c r="Z72" i="1"/>
  <c r="AA72" i="1" s="1"/>
  <c r="AB72" i="1" s="1"/>
  <c r="Z73" i="1"/>
  <c r="Z74" i="1"/>
  <c r="Z75" i="1"/>
  <c r="Z76" i="1"/>
  <c r="Z77" i="1"/>
  <c r="Z78" i="1"/>
  <c r="Z79" i="1"/>
  <c r="AA79" i="1" s="1"/>
  <c r="AB79" i="1" s="1"/>
  <c r="Z80" i="1"/>
  <c r="AA80" i="1" s="1"/>
  <c r="AB80" i="1" s="1"/>
  <c r="Z81" i="1"/>
  <c r="AA81" i="1" s="1"/>
  <c r="AB81" i="1" s="1"/>
  <c r="Z82" i="1"/>
  <c r="AA82" i="1" s="1"/>
  <c r="AB82" i="1" s="1"/>
  <c r="Z83" i="1"/>
  <c r="AA83" i="1" s="1"/>
  <c r="AB83" i="1" s="1"/>
  <c r="Z84" i="1"/>
  <c r="AA84" i="1" s="1"/>
  <c r="AB84" i="1" s="1"/>
  <c r="Z85" i="1"/>
  <c r="Z86" i="1"/>
  <c r="Z87" i="1"/>
  <c r="Z88" i="1"/>
  <c r="Z89" i="1"/>
  <c r="Z90" i="1"/>
  <c r="Z91" i="1"/>
  <c r="AA91" i="1" s="1"/>
  <c r="AB91" i="1" s="1"/>
  <c r="Z92" i="1"/>
  <c r="AA92" i="1" s="1"/>
  <c r="AB92" i="1" s="1"/>
  <c r="Z93" i="1"/>
  <c r="AA93" i="1" s="1"/>
  <c r="AB93" i="1" s="1"/>
  <c r="Z94" i="1"/>
  <c r="AA94" i="1" s="1"/>
  <c r="AB94" i="1" s="1"/>
  <c r="Z95" i="1"/>
  <c r="AA95" i="1" s="1"/>
  <c r="AB95" i="1" s="1"/>
  <c r="Z96" i="1"/>
  <c r="AA96" i="1" s="1"/>
  <c r="AB96" i="1" s="1"/>
  <c r="Z97" i="1"/>
  <c r="Z98" i="1"/>
  <c r="Z99" i="1"/>
  <c r="Z100" i="1"/>
  <c r="Z101" i="1"/>
  <c r="Z102" i="1"/>
  <c r="Z103" i="1"/>
  <c r="AA103" i="1" s="1"/>
  <c r="AB103" i="1" s="1"/>
  <c r="Z104" i="1"/>
  <c r="AA104" i="1" s="1"/>
  <c r="AB104" i="1" s="1"/>
  <c r="Z105" i="1"/>
  <c r="AA105" i="1" s="1"/>
  <c r="AB105" i="1" s="1"/>
  <c r="Z106" i="1"/>
  <c r="AA106" i="1" s="1"/>
  <c r="AB106" i="1" s="1"/>
  <c r="Z107" i="1"/>
  <c r="AA107" i="1" s="1"/>
  <c r="AB107" i="1" s="1"/>
  <c r="Z108" i="1"/>
  <c r="AA108" i="1" s="1"/>
  <c r="AB108" i="1" s="1"/>
  <c r="Z109" i="1"/>
  <c r="Z110" i="1"/>
  <c r="Z111" i="1"/>
  <c r="Z112" i="1"/>
  <c r="Z113" i="1"/>
  <c r="Z114" i="1"/>
  <c r="Z115" i="1"/>
  <c r="AA115" i="1" s="1"/>
  <c r="AB115" i="1" s="1"/>
  <c r="Z116" i="1"/>
  <c r="AA116" i="1" s="1"/>
  <c r="AB116" i="1" s="1"/>
  <c r="Z117" i="1"/>
  <c r="AA117" i="1" s="1"/>
  <c r="AB117" i="1" s="1"/>
  <c r="Z118" i="1"/>
  <c r="AA118" i="1" s="1"/>
  <c r="AB118" i="1" s="1"/>
  <c r="Z119" i="1"/>
  <c r="AA119" i="1" s="1"/>
  <c r="AB119" i="1" s="1"/>
  <c r="Z120" i="1"/>
  <c r="AA120" i="1" s="1"/>
  <c r="AB120" i="1" s="1"/>
  <c r="Z121" i="1"/>
  <c r="Z122" i="1"/>
  <c r="Z123" i="1"/>
  <c r="Z124" i="1"/>
  <c r="Z125" i="1"/>
  <c r="Z126" i="1"/>
  <c r="Z127" i="1"/>
  <c r="AA127" i="1" s="1"/>
  <c r="AB127" i="1" s="1"/>
  <c r="Z128" i="1"/>
  <c r="AA128" i="1" s="1"/>
  <c r="AB128" i="1" s="1"/>
  <c r="Z129" i="1"/>
  <c r="AA129" i="1" s="1"/>
  <c r="AB129" i="1" s="1"/>
  <c r="Z130" i="1"/>
  <c r="AA130" i="1" s="1"/>
  <c r="AB130" i="1" s="1"/>
  <c r="Z131" i="1"/>
  <c r="AA131" i="1" s="1"/>
  <c r="AB131" i="1" s="1"/>
  <c r="Z132" i="1"/>
  <c r="AA132" i="1" s="1"/>
  <c r="AB132" i="1" s="1"/>
  <c r="Z133" i="1"/>
  <c r="Z134" i="1"/>
  <c r="Z135" i="1"/>
  <c r="Z136" i="1"/>
  <c r="Z137" i="1"/>
  <c r="Z138" i="1"/>
  <c r="Z139" i="1"/>
  <c r="AA139" i="1" s="1"/>
  <c r="AB139" i="1" s="1"/>
  <c r="Z140" i="1"/>
  <c r="AA140" i="1" s="1"/>
  <c r="AB140" i="1" s="1"/>
  <c r="Z141" i="1"/>
  <c r="AA141" i="1" s="1"/>
  <c r="AB141" i="1" s="1"/>
  <c r="Z142" i="1"/>
  <c r="AA142" i="1" s="1"/>
  <c r="AB142" i="1" s="1"/>
  <c r="Z143" i="1"/>
  <c r="AA143" i="1" s="1"/>
  <c r="AB143" i="1" s="1"/>
  <c r="Z144" i="1"/>
  <c r="AA144" i="1" s="1"/>
  <c r="AB144" i="1" s="1"/>
  <c r="Z145" i="1"/>
  <c r="Z146" i="1"/>
  <c r="Z147" i="1"/>
  <c r="Z148" i="1"/>
  <c r="Z149" i="1"/>
  <c r="Z150" i="1"/>
  <c r="Z151" i="1"/>
  <c r="AA151" i="1" s="1"/>
  <c r="AB151" i="1" s="1"/>
  <c r="Z152" i="1"/>
  <c r="AA152" i="1" s="1"/>
  <c r="AB152" i="1" s="1"/>
  <c r="Z153" i="1"/>
  <c r="AA153" i="1" s="1"/>
  <c r="AB153" i="1" s="1"/>
  <c r="Z154" i="1"/>
  <c r="AA154" i="1" s="1"/>
  <c r="AB154" i="1" s="1"/>
  <c r="Z155" i="1"/>
  <c r="AA155" i="1" s="1"/>
  <c r="AB155" i="1" s="1"/>
  <c r="Z156" i="1"/>
  <c r="AA156" i="1" s="1"/>
  <c r="AB156" i="1" s="1"/>
  <c r="Z157" i="1"/>
  <c r="Z158" i="1"/>
  <c r="Z159" i="1"/>
  <c r="Z160" i="1"/>
  <c r="Z161" i="1"/>
  <c r="Z162" i="1"/>
  <c r="Z163" i="1"/>
  <c r="AA163" i="1" s="1"/>
  <c r="AB163" i="1" s="1"/>
  <c r="Z164" i="1"/>
  <c r="AA164" i="1" s="1"/>
  <c r="AB164" i="1" s="1"/>
  <c r="Z165" i="1"/>
  <c r="AA165" i="1" s="1"/>
  <c r="AB165" i="1" s="1"/>
  <c r="Z166" i="1"/>
  <c r="AA166" i="1" s="1"/>
  <c r="AB166" i="1" s="1"/>
  <c r="Z167" i="1"/>
  <c r="AA167" i="1" s="1"/>
  <c r="AB167" i="1" s="1"/>
  <c r="Z168" i="1"/>
  <c r="AA168" i="1" s="1"/>
  <c r="AB168" i="1" s="1"/>
  <c r="Z169" i="1"/>
  <c r="Z170" i="1"/>
  <c r="Z171" i="1"/>
  <c r="Z172" i="1"/>
  <c r="Z173" i="1"/>
  <c r="Z174" i="1"/>
  <c r="Z175" i="1"/>
  <c r="AA175" i="1" s="1"/>
  <c r="AB175" i="1" s="1"/>
  <c r="Z176" i="1"/>
  <c r="AA176" i="1" s="1"/>
  <c r="AB176" i="1" s="1"/>
  <c r="Z177" i="1"/>
  <c r="AA177" i="1" s="1"/>
  <c r="AB177" i="1" s="1"/>
  <c r="Z178" i="1"/>
  <c r="AA178" i="1" s="1"/>
  <c r="AB178" i="1" s="1"/>
  <c r="Z179" i="1"/>
  <c r="AA179" i="1" s="1"/>
  <c r="AB179" i="1" s="1"/>
  <c r="Z180" i="1"/>
  <c r="AA180" i="1" s="1"/>
  <c r="AB180" i="1" s="1"/>
  <c r="Z181" i="1"/>
  <c r="Z182" i="1"/>
  <c r="Z183" i="1"/>
  <c r="Z184" i="1"/>
  <c r="Z185" i="1"/>
  <c r="Z186" i="1"/>
  <c r="Z187" i="1"/>
  <c r="AA187" i="1" s="1"/>
  <c r="AB187" i="1" s="1"/>
  <c r="Z188" i="1"/>
  <c r="AA188" i="1" s="1"/>
  <c r="AB188" i="1" s="1"/>
  <c r="Z189" i="1"/>
  <c r="AA189" i="1" s="1"/>
  <c r="AB189" i="1" s="1"/>
  <c r="Z190" i="1"/>
  <c r="AA190" i="1" s="1"/>
  <c r="AB190" i="1" s="1"/>
  <c r="Z191" i="1"/>
  <c r="AA191" i="1" s="1"/>
  <c r="AB191" i="1" s="1"/>
  <c r="Z192" i="1"/>
  <c r="AA192" i="1" s="1"/>
  <c r="AB192" i="1" s="1"/>
  <c r="Z193" i="1"/>
  <c r="Z194" i="1"/>
  <c r="Z195" i="1"/>
  <c r="Z196" i="1"/>
  <c r="Z197" i="1"/>
  <c r="Z198" i="1"/>
  <c r="Z199" i="1"/>
  <c r="AA199" i="1" s="1"/>
  <c r="AB199" i="1" s="1"/>
  <c r="Z200" i="1"/>
  <c r="AA200" i="1" s="1"/>
  <c r="AB200" i="1" s="1"/>
  <c r="Z201" i="1"/>
  <c r="AA201" i="1" s="1"/>
  <c r="AB201" i="1" s="1"/>
  <c r="Z202" i="1"/>
  <c r="AA202" i="1" s="1"/>
  <c r="AB202" i="1" s="1"/>
  <c r="Z203" i="1"/>
  <c r="AA203" i="1" s="1"/>
  <c r="AB203" i="1" s="1"/>
  <c r="Z204" i="1"/>
  <c r="AA204" i="1" s="1"/>
  <c r="AB204" i="1" s="1"/>
  <c r="Z205" i="1"/>
  <c r="Z206" i="1"/>
  <c r="Z207" i="1"/>
  <c r="Z208" i="1"/>
  <c r="Z209" i="1"/>
  <c r="Z210" i="1"/>
  <c r="Z211" i="1"/>
  <c r="AA211" i="1" s="1"/>
  <c r="AB211" i="1" s="1"/>
  <c r="Z212" i="1"/>
  <c r="AA212" i="1" s="1"/>
  <c r="AB212" i="1" s="1"/>
  <c r="Z213" i="1"/>
  <c r="AA213" i="1" s="1"/>
  <c r="AB213" i="1" s="1"/>
  <c r="Z214" i="1"/>
  <c r="AA214" i="1" s="1"/>
  <c r="AB214" i="1" s="1"/>
  <c r="Z215" i="1"/>
  <c r="AA215" i="1" s="1"/>
  <c r="AB215" i="1" s="1"/>
  <c r="Z216" i="1"/>
  <c r="AA216" i="1" s="1"/>
  <c r="AB216" i="1" s="1"/>
  <c r="Z217" i="1"/>
  <c r="Z218" i="1"/>
  <c r="Z219" i="1"/>
  <c r="Z220" i="1"/>
  <c r="Z221" i="1"/>
  <c r="Z222" i="1"/>
  <c r="Z223" i="1"/>
  <c r="AA223" i="1" s="1"/>
  <c r="AB223" i="1" s="1"/>
  <c r="Z224" i="1"/>
  <c r="AA224" i="1" s="1"/>
  <c r="AB224" i="1" s="1"/>
  <c r="Z225" i="1"/>
  <c r="AA225" i="1" s="1"/>
  <c r="AB225" i="1" s="1"/>
  <c r="Z226" i="1"/>
  <c r="AA226" i="1" s="1"/>
  <c r="AB226" i="1" s="1"/>
  <c r="Z227" i="1"/>
  <c r="AA227" i="1" s="1"/>
  <c r="AB227" i="1" s="1"/>
  <c r="Z228" i="1"/>
  <c r="AA228" i="1" s="1"/>
  <c r="AB228" i="1" s="1"/>
  <c r="Z229" i="1"/>
  <c r="Z230" i="1"/>
  <c r="Z231" i="1"/>
  <c r="Z232" i="1"/>
  <c r="Z233" i="1"/>
  <c r="Z234" i="1"/>
  <c r="Z235" i="1"/>
  <c r="AA235" i="1" s="1"/>
  <c r="AB235" i="1" s="1"/>
  <c r="Z236" i="1"/>
  <c r="AA236" i="1" s="1"/>
  <c r="AB236" i="1" s="1"/>
  <c r="Z237" i="1"/>
  <c r="AA237" i="1" s="1"/>
  <c r="AB237" i="1" s="1"/>
  <c r="Z238" i="1"/>
  <c r="AA238" i="1" s="1"/>
  <c r="AB238" i="1" s="1"/>
  <c r="Z239" i="1"/>
  <c r="AA239" i="1" s="1"/>
  <c r="AB239" i="1" s="1"/>
  <c r="Z240" i="1"/>
  <c r="AA240" i="1" s="1"/>
  <c r="AB240" i="1" s="1"/>
  <c r="Z241" i="1"/>
  <c r="Z242" i="1"/>
  <c r="Z243" i="1"/>
  <c r="Z244" i="1"/>
  <c r="Z245" i="1"/>
  <c r="Z246" i="1"/>
  <c r="Z247" i="1"/>
  <c r="AA247" i="1" s="1"/>
  <c r="AB247" i="1" s="1"/>
  <c r="Z248" i="1"/>
  <c r="AA248" i="1" s="1"/>
  <c r="AB248" i="1" s="1"/>
  <c r="Z249" i="1"/>
  <c r="AA249" i="1" s="1"/>
  <c r="AB249" i="1" s="1"/>
  <c r="Z250" i="1"/>
  <c r="AA250" i="1" s="1"/>
  <c r="AB250" i="1" s="1"/>
  <c r="Z251" i="1"/>
  <c r="AA251" i="1" s="1"/>
  <c r="AB251" i="1" s="1"/>
  <c r="Z252" i="1"/>
  <c r="AA252" i="1" s="1"/>
  <c r="AB252" i="1" s="1"/>
  <c r="Z253" i="1"/>
  <c r="Z254" i="1"/>
  <c r="Z255" i="1"/>
  <c r="Z256" i="1"/>
  <c r="Z257" i="1"/>
  <c r="Z258" i="1"/>
  <c r="Z259" i="1"/>
  <c r="AA259" i="1" s="1"/>
  <c r="AB259" i="1" s="1"/>
  <c r="Z260" i="1"/>
  <c r="AA260" i="1" s="1"/>
  <c r="AB260" i="1" s="1"/>
  <c r="Z261" i="1"/>
  <c r="AA261" i="1" s="1"/>
  <c r="AB261" i="1" s="1"/>
  <c r="Z262" i="1"/>
  <c r="AA262" i="1" s="1"/>
  <c r="AB262" i="1" s="1"/>
  <c r="Z263" i="1"/>
  <c r="AA263" i="1" s="1"/>
  <c r="AB263" i="1" s="1"/>
  <c r="Z264" i="1"/>
  <c r="AA264" i="1" s="1"/>
  <c r="AB264" i="1" s="1"/>
  <c r="Z265" i="1"/>
  <c r="Z266" i="1"/>
  <c r="Z267" i="1"/>
  <c r="Z268" i="1"/>
  <c r="Z269" i="1"/>
  <c r="Z270" i="1"/>
  <c r="Z271" i="1"/>
  <c r="AA271" i="1" s="1"/>
  <c r="AB271" i="1" s="1"/>
  <c r="Z272" i="1"/>
  <c r="AA272" i="1" s="1"/>
  <c r="AB272" i="1" s="1"/>
  <c r="Z273" i="1"/>
  <c r="AA273" i="1" s="1"/>
  <c r="AB273" i="1" s="1"/>
  <c r="Z274" i="1"/>
  <c r="AA274" i="1" s="1"/>
  <c r="AB274" i="1" s="1"/>
  <c r="Z275" i="1"/>
  <c r="AA275" i="1" s="1"/>
  <c r="AB275" i="1" s="1"/>
  <c r="Z276" i="1"/>
  <c r="AA276" i="1" s="1"/>
  <c r="AB276" i="1" s="1"/>
  <c r="Z277" i="1"/>
  <c r="Z278" i="1"/>
  <c r="Z279" i="1"/>
  <c r="Z280" i="1"/>
  <c r="Z281" i="1"/>
  <c r="Z282" i="1"/>
  <c r="Z283" i="1"/>
  <c r="AA283" i="1" s="1"/>
  <c r="AB283" i="1" s="1"/>
  <c r="Z284" i="1"/>
  <c r="AA284" i="1" s="1"/>
  <c r="AB284" i="1" s="1"/>
  <c r="Z285" i="1"/>
  <c r="AA285" i="1" s="1"/>
  <c r="AB285" i="1" s="1"/>
  <c r="Z286" i="1"/>
  <c r="AA286" i="1" s="1"/>
  <c r="AB286" i="1" s="1"/>
  <c r="Z287" i="1"/>
  <c r="AA287" i="1" s="1"/>
  <c r="AB287" i="1" s="1"/>
  <c r="Z288" i="1"/>
  <c r="AA288" i="1" s="1"/>
  <c r="AB288" i="1" s="1"/>
  <c r="Z289" i="1"/>
  <c r="Z290" i="1"/>
  <c r="Z291" i="1"/>
  <c r="Z292" i="1"/>
  <c r="Z293" i="1"/>
  <c r="Z294" i="1"/>
  <c r="Z295" i="1"/>
  <c r="AA295" i="1" s="1"/>
  <c r="AB295" i="1" s="1"/>
  <c r="Z296" i="1"/>
  <c r="AA296" i="1" s="1"/>
  <c r="AB296" i="1" s="1"/>
  <c r="Z297" i="1"/>
  <c r="AA297" i="1" s="1"/>
  <c r="AB297" i="1" s="1"/>
  <c r="Z298" i="1"/>
  <c r="AA298" i="1" s="1"/>
  <c r="AB298" i="1" s="1"/>
  <c r="Z299" i="1"/>
  <c r="AA299" i="1" s="1"/>
  <c r="AB299" i="1" s="1"/>
  <c r="Z300" i="1"/>
  <c r="AA300" i="1" s="1"/>
  <c r="AB300" i="1" s="1"/>
  <c r="Z301" i="1"/>
  <c r="Z302" i="1"/>
  <c r="Z303" i="1"/>
  <c r="Z304" i="1"/>
  <c r="Z305" i="1"/>
  <c r="Z306" i="1"/>
  <c r="Z307" i="1"/>
  <c r="AA307" i="1" s="1"/>
  <c r="AB307" i="1" s="1"/>
  <c r="Z308" i="1"/>
  <c r="AA308" i="1" s="1"/>
  <c r="AB308" i="1" s="1"/>
  <c r="Z309" i="1"/>
  <c r="AA309" i="1" s="1"/>
  <c r="AB309" i="1" s="1"/>
  <c r="Z310" i="1"/>
  <c r="AA310" i="1" s="1"/>
  <c r="AB310" i="1" s="1"/>
  <c r="Z311" i="1"/>
  <c r="AA311" i="1" s="1"/>
  <c r="AB311" i="1" s="1"/>
  <c r="Z312" i="1"/>
  <c r="AA312" i="1" s="1"/>
  <c r="AB312" i="1" s="1"/>
  <c r="Z313" i="1"/>
  <c r="Z314" i="1"/>
  <c r="Z315" i="1"/>
  <c r="Z316" i="1"/>
  <c r="Z317" i="1"/>
  <c r="Z318" i="1"/>
  <c r="Z319" i="1"/>
  <c r="AA319" i="1" s="1"/>
  <c r="AB319" i="1" s="1"/>
  <c r="Z320" i="1"/>
  <c r="AA320" i="1" s="1"/>
  <c r="AB320" i="1" s="1"/>
  <c r="Z321" i="1"/>
  <c r="AA321" i="1" s="1"/>
  <c r="AB321" i="1" s="1"/>
  <c r="Z322" i="1"/>
  <c r="AA322" i="1" s="1"/>
  <c r="AB322" i="1" s="1"/>
  <c r="Z323" i="1"/>
  <c r="AA323" i="1" s="1"/>
  <c r="AB323" i="1" s="1"/>
  <c r="Z324" i="1"/>
  <c r="AA324" i="1" s="1"/>
  <c r="AB324" i="1" s="1"/>
  <c r="Z325" i="1"/>
  <c r="Z326" i="1"/>
  <c r="Z327" i="1"/>
  <c r="Z328" i="1"/>
  <c r="Z329" i="1"/>
  <c r="Z330" i="1"/>
  <c r="Z331" i="1"/>
  <c r="AA331" i="1" s="1"/>
  <c r="AB331" i="1" s="1"/>
  <c r="Z332" i="1"/>
  <c r="AA332" i="1" s="1"/>
  <c r="AB332" i="1" s="1"/>
  <c r="Z333" i="1"/>
  <c r="AA333" i="1" s="1"/>
  <c r="AB333" i="1" s="1"/>
  <c r="Z334" i="1"/>
  <c r="AA334" i="1" s="1"/>
  <c r="AB334" i="1" s="1"/>
  <c r="Z335" i="1"/>
  <c r="AA335" i="1" s="1"/>
  <c r="AB335" i="1" s="1"/>
  <c r="Z336" i="1"/>
  <c r="AA336" i="1" s="1"/>
  <c r="AB336" i="1" s="1"/>
  <c r="Z337" i="1"/>
  <c r="Z338" i="1"/>
  <c r="Z339" i="1"/>
  <c r="Z340" i="1"/>
  <c r="Z341" i="1"/>
  <c r="Z342" i="1"/>
  <c r="Z343" i="1"/>
  <c r="AA343" i="1" s="1"/>
  <c r="AB343" i="1" s="1"/>
  <c r="Z344" i="1"/>
  <c r="AA344" i="1" s="1"/>
  <c r="AB344" i="1" s="1"/>
  <c r="Z345" i="1"/>
  <c r="AA345" i="1" s="1"/>
  <c r="AB345" i="1" s="1"/>
  <c r="Z346" i="1"/>
  <c r="AA346" i="1" s="1"/>
  <c r="AB346" i="1" s="1"/>
  <c r="Z347" i="1"/>
  <c r="AA347" i="1" s="1"/>
  <c r="AB347" i="1" s="1"/>
  <c r="Z348" i="1"/>
  <c r="AA348" i="1" s="1"/>
  <c r="AB348" i="1" s="1"/>
  <c r="Z349" i="1"/>
  <c r="Z350" i="1"/>
  <c r="Z351" i="1"/>
  <c r="Z352" i="1"/>
  <c r="Z353" i="1"/>
  <c r="Z354" i="1"/>
  <c r="Z355" i="1"/>
  <c r="AA355" i="1" s="1"/>
  <c r="AB355" i="1" s="1"/>
  <c r="Z356" i="1"/>
  <c r="AA356" i="1" s="1"/>
  <c r="AB356" i="1" s="1"/>
  <c r="Z357" i="1"/>
  <c r="AA357" i="1" s="1"/>
  <c r="AB357" i="1" s="1"/>
  <c r="Z358" i="1"/>
  <c r="AA358" i="1" s="1"/>
  <c r="AB358" i="1" s="1"/>
  <c r="Z359" i="1"/>
  <c r="AA359" i="1" s="1"/>
  <c r="AB359" i="1" s="1"/>
  <c r="Z360" i="1"/>
  <c r="AA360" i="1" s="1"/>
  <c r="AB360" i="1" s="1"/>
  <c r="Z361" i="1"/>
  <c r="Z362" i="1"/>
  <c r="Z363" i="1"/>
  <c r="Z364" i="1"/>
  <c r="Z365" i="1"/>
  <c r="Z366" i="1"/>
  <c r="Z367" i="1"/>
  <c r="AA367" i="1" s="1"/>
  <c r="AB367" i="1" s="1"/>
  <c r="Z368" i="1"/>
  <c r="AA368" i="1" s="1"/>
  <c r="AB368" i="1" s="1"/>
  <c r="Z369" i="1"/>
  <c r="AA369" i="1" s="1"/>
  <c r="AB369" i="1" s="1"/>
  <c r="Z370" i="1"/>
  <c r="AA370" i="1" s="1"/>
  <c r="AB370" i="1" s="1"/>
  <c r="Z371" i="1"/>
  <c r="AA371" i="1" s="1"/>
  <c r="AB371" i="1" s="1"/>
  <c r="Z12" i="1"/>
  <c r="AA12" i="1" s="1"/>
  <c r="AB12" i="1" s="1"/>
  <c r="Z13" i="1"/>
  <c r="Z14" i="1"/>
  <c r="Z15" i="1"/>
  <c r="Z16" i="1"/>
  <c r="Z17" i="1"/>
  <c r="Z18" i="1"/>
  <c r="Z19" i="1"/>
  <c r="AA19" i="1" s="1"/>
  <c r="AB19" i="1" s="1"/>
  <c r="Z20" i="1"/>
  <c r="AA20" i="1" s="1"/>
  <c r="AB20" i="1" s="1"/>
  <c r="Z11" i="1"/>
  <c r="AA11" i="1" s="1"/>
  <c r="AD26" i="1" l="1"/>
  <c r="AD12" i="1"/>
  <c r="AD360" i="1"/>
  <c r="AD348" i="1"/>
  <c r="AD336" i="1"/>
  <c r="AD324" i="1"/>
  <c r="AD312" i="1"/>
  <c r="AD300" i="1"/>
  <c r="AD288" i="1"/>
  <c r="AD276" i="1"/>
  <c r="AD264" i="1"/>
  <c r="AD252" i="1"/>
  <c r="AD240" i="1"/>
  <c r="AD228" i="1"/>
  <c r="AD216" i="1"/>
  <c r="AD204" i="1"/>
  <c r="AD192" i="1"/>
  <c r="AD371" i="1"/>
  <c r="AD359" i="1"/>
  <c r="AD347" i="1"/>
  <c r="AD335" i="1"/>
  <c r="AD323" i="1"/>
  <c r="AD311" i="1"/>
  <c r="AD299" i="1"/>
  <c r="AD287" i="1"/>
  <c r="AD275" i="1"/>
  <c r="AD263" i="1"/>
  <c r="AD251" i="1"/>
  <c r="AD239" i="1"/>
  <c r="AD227" i="1"/>
  <c r="AD215" i="1"/>
  <c r="AD203" i="1"/>
  <c r="AD191" i="1"/>
  <c r="AD179" i="1"/>
  <c r="AD167" i="1"/>
  <c r="AD155" i="1"/>
  <c r="AD143" i="1"/>
  <c r="AD131" i="1"/>
  <c r="AD119" i="1"/>
  <c r="AD107" i="1"/>
  <c r="AD95" i="1"/>
  <c r="AD83" i="1"/>
  <c r="AD71" i="1"/>
  <c r="AD59" i="1"/>
  <c r="AD47" i="1"/>
  <c r="AD23" i="1"/>
  <c r="AD35" i="1"/>
  <c r="AD370" i="1"/>
  <c r="AD358" i="1"/>
  <c r="AD346" i="1"/>
  <c r="AD334" i="1"/>
  <c r="AD322" i="1"/>
  <c r="AD310" i="1"/>
  <c r="AD298" i="1"/>
  <c r="AD286" i="1"/>
  <c r="AD274" i="1"/>
  <c r="AD262" i="1"/>
  <c r="AD250" i="1"/>
  <c r="AD238" i="1"/>
  <c r="AD226" i="1"/>
  <c r="AD214" i="1"/>
  <c r="AD202" i="1"/>
  <c r="AD190" i="1"/>
  <c r="AD178" i="1"/>
  <c r="AD166" i="1"/>
  <c r="AD154" i="1"/>
  <c r="AD142" i="1"/>
  <c r="AD130" i="1"/>
  <c r="AD118" i="1"/>
  <c r="AD106" i="1"/>
  <c r="AD94" i="1"/>
  <c r="AD82" i="1"/>
  <c r="AD70" i="1"/>
  <c r="AD58" i="1"/>
  <c r="AD46" i="1"/>
  <c r="AD34" i="1"/>
  <c r="AD22" i="1"/>
  <c r="V11" i="1"/>
  <c r="Q12" i="1" s="1"/>
  <c r="W12" i="1" s="1"/>
  <c r="AD355" i="1"/>
  <c r="AD331" i="1"/>
  <c r="AD319" i="1"/>
  <c r="AD295" i="1"/>
  <c r="AD271" i="1"/>
  <c r="AD247" i="1"/>
  <c r="AD223" i="1"/>
  <c r="AD175" i="1"/>
  <c r="AD367" i="1"/>
  <c r="AD211" i="1"/>
  <c r="AD43" i="1"/>
  <c r="AD19" i="1"/>
  <c r="AD343" i="1"/>
  <c r="AD307" i="1"/>
  <c r="AD283" i="1"/>
  <c r="AD259" i="1"/>
  <c r="AD235" i="1"/>
  <c r="AD199" i="1"/>
  <c r="AD187" i="1"/>
  <c r="AD163" i="1"/>
  <c r="AD151" i="1"/>
  <c r="AD139" i="1"/>
  <c r="AD127" i="1"/>
  <c r="AD115" i="1"/>
  <c r="AD103" i="1"/>
  <c r="AD91" i="1"/>
  <c r="AD79" i="1"/>
  <c r="AD67" i="1"/>
  <c r="AD55" i="1"/>
  <c r="AD31" i="1"/>
  <c r="AD20" i="1"/>
  <c r="AD368" i="1"/>
  <c r="AD356" i="1"/>
  <c r="AD344" i="1"/>
  <c r="AD332" i="1"/>
  <c r="AD320" i="1"/>
  <c r="AD308" i="1"/>
  <c r="AD296" i="1"/>
  <c r="AD284" i="1"/>
  <c r="AD272" i="1"/>
  <c r="AD260" i="1"/>
  <c r="AD248" i="1"/>
  <c r="AD236" i="1"/>
  <c r="AD224" i="1"/>
  <c r="AD212" i="1"/>
  <c r="AD200" i="1"/>
  <c r="AD188" i="1"/>
  <c r="AD176" i="1"/>
  <c r="AD164" i="1"/>
  <c r="AD152" i="1"/>
  <c r="AD140" i="1"/>
  <c r="AD128" i="1"/>
  <c r="AD116" i="1"/>
  <c r="AD104" i="1"/>
  <c r="AD92" i="1"/>
  <c r="AD80" i="1"/>
  <c r="AD68" i="1"/>
  <c r="AD56" i="1"/>
  <c r="AD44" i="1"/>
  <c r="AD32" i="1"/>
  <c r="AD180" i="1"/>
  <c r="AD168" i="1"/>
  <c r="AD156" i="1"/>
  <c r="AD144" i="1"/>
  <c r="AD132" i="1"/>
  <c r="AD120" i="1"/>
  <c r="AD108" i="1"/>
  <c r="AD96" i="1"/>
  <c r="AD84" i="1"/>
  <c r="AD72" i="1"/>
  <c r="AD60" i="1"/>
  <c r="AD48" i="1"/>
  <c r="AD36" i="1"/>
  <c r="AD24" i="1"/>
  <c r="AD345" i="1"/>
  <c r="AD297" i="1"/>
  <c r="AD285" i="1"/>
  <c r="AD237" i="1"/>
  <c r="AD225" i="1"/>
  <c r="AD213" i="1"/>
  <c r="AD201" i="1"/>
  <c r="AD189" i="1"/>
  <c r="AD177" i="1"/>
  <c r="AD165" i="1"/>
  <c r="AD153" i="1"/>
  <c r="AD141" i="1"/>
  <c r="AD129" i="1"/>
  <c r="AD117" i="1"/>
  <c r="AD105" i="1"/>
  <c r="AD93" i="1"/>
  <c r="AD81" i="1"/>
  <c r="AD69" i="1"/>
  <c r="AD57" i="1"/>
  <c r="AD45" i="1"/>
  <c r="AD33" i="1"/>
  <c r="AD21" i="1"/>
  <c r="AD333" i="1"/>
  <c r="AD273" i="1"/>
  <c r="AD357" i="1"/>
  <c r="AD321" i="1"/>
  <c r="AD261" i="1"/>
  <c r="AD369" i="1"/>
  <c r="AD309" i="1"/>
  <c r="AD249" i="1"/>
  <c r="AA171" i="1"/>
  <c r="AB171" i="1" s="1"/>
  <c r="AA362" i="1"/>
  <c r="AB362" i="1" s="1"/>
  <c r="AA13" i="1"/>
  <c r="AB13" i="1" s="1"/>
  <c r="AA361" i="1"/>
  <c r="AB361" i="1" s="1"/>
  <c r="AA349" i="1"/>
  <c r="AB349" i="1" s="1"/>
  <c r="AA337" i="1"/>
  <c r="AB337" i="1" s="1"/>
  <c r="AA325" i="1"/>
  <c r="AB325" i="1" s="1"/>
  <c r="AA313" i="1"/>
  <c r="AB313" i="1" s="1"/>
  <c r="AA301" i="1"/>
  <c r="AB301" i="1" s="1"/>
  <c r="AA289" i="1"/>
  <c r="AB289" i="1" s="1"/>
  <c r="AA277" i="1"/>
  <c r="AB277" i="1" s="1"/>
  <c r="AA265" i="1"/>
  <c r="AB265" i="1" s="1"/>
  <c r="AA253" i="1"/>
  <c r="AB253" i="1" s="1"/>
  <c r="AA241" i="1"/>
  <c r="AB241" i="1" s="1"/>
  <c r="AA229" i="1"/>
  <c r="AB229" i="1" s="1"/>
  <c r="AA217" i="1"/>
  <c r="AB217" i="1" s="1"/>
  <c r="AA205" i="1"/>
  <c r="AB205" i="1" s="1"/>
  <c r="AA193" i="1"/>
  <c r="AB193" i="1" s="1"/>
  <c r="AA181" i="1"/>
  <c r="AB181" i="1" s="1"/>
  <c r="AA169" i="1"/>
  <c r="AB169" i="1" s="1"/>
  <c r="AA157" i="1"/>
  <c r="AB157" i="1" s="1"/>
  <c r="AA145" i="1"/>
  <c r="AB145" i="1" s="1"/>
  <c r="AA133" i="1"/>
  <c r="AB133" i="1" s="1"/>
  <c r="AA121" i="1"/>
  <c r="AB121" i="1" s="1"/>
  <c r="AA109" i="1"/>
  <c r="AB109" i="1" s="1"/>
  <c r="AA97" i="1"/>
  <c r="AB97" i="1" s="1"/>
  <c r="AA85" i="1"/>
  <c r="AB85" i="1" s="1"/>
  <c r="AA73" i="1"/>
  <c r="AB73" i="1" s="1"/>
  <c r="AA61" i="1"/>
  <c r="AB61" i="1" s="1"/>
  <c r="AA49" i="1"/>
  <c r="AB49" i="1" s="1"/>
  <c r="AA37" i="1"/>
  <c r="AB37" i="1" s="1"/>
  <c r="AA25" i="1"/>
  <c r="AB25" i="1" s="1"/>
  <c r="AA245" i="1"/>
  <c r="AB245" i="1" s="1"/>
  <c r="AA77" i="1"/>
  <c r="AB77" i="1" s="1"/>
  <c r="AA280" i="1"/>
  <c r="AB280" i="1" s="1"/>
  <c r="AA64" i="1"/>
  <c r="AB64" i="1" s="1"/>
  <c r="AA255" i="1"/>
  <c r="AB255" i="1" s="1"/>
  <c r="AA293" i="1"/>
  <c r="AB293" i="1" s="1"/>
  <c r="AA185" i="1"/>
  <c r="AB185" i="1" s="1"/>
  <c r="AA101" i="1"/>
  <c r="AB101" i="1" s="1"/>
  <c r="AA268" i="1"/>
  <c r="AB268" i="1" s="1"/>
  <c r="AA136" i="1"/>
  <c r="AB136" i="1" s="1"/>
  <c r="AA315" i="1"/>
  <c r="AB315" i="1" s="1"/>
  <c r="AA207" i="1"/>
  <c r="AB207" i="1" s="1"/>
  <c r="AA99" i="1"/>
  <c r="AB99" i="1" s="1"/>
  <c r="AA218" i="1"/>
  <c r="AB218" i="1" s="1"/>
  <c r="AA341" i="1"/>
  <c r="AB341" i="1" s="1"/>
  <c r="AA281" i="1"/>
  <c r="AB281" i="1" s="1"/>
  <c r="AA209" i="1"/>
  <c r="AB209" i="1" s="1"/>
  <c r="AA149" i="1"/>
  <c r="AB149" i="1" s="1"/>
  <c r="AA89" i="1"/>
  <c r="AB89" i="1" s="1"/>
  <c r="AA340" i="1"/>
  <c r="AB340" i="1" s="1"/>
  <c r="AA292" i="1"/>
  <c r="AB292" i="1" s="1"/>
  <c r="AA220" i="1"/>
  <c r="AB220" i="1" s="1"/>
  <c r="AA160" i="1"/>
  <c r="AB160" i="1" s="1"/>
  <c r="AA100" i="1"/>
  <c r="AB100" i="1" s="1"/>
  <c r="AA28" i="1"/>
  <c r="AB28" i="1" s="1"/>
  <c r="AA339" i="1"/>
  <c r="AB339" i="1" s="1"/>
  <c r="AA279" i="1"/>
  <c r="AB279" i="1" s="1"/>
  <c r="AA231" i="1"/>
  <c r="AB231" i="1" s="1"/>
  <c r="AA159" i="1"/>
  <c r="AB159" i="1" s="1"/>
  <c r="AA111" i="1"/>
  <c r="AB111" i="1" s="1"/>
  <c r="AA51" i="1"/>
  <c r="AB51" i="1" s="1"/>
  <c r="AA350" i="1"/>
  <c r="AB350" i="1" s="1"/>
  <c r="AA302" i="1"/>
  <c r="AB302" i="1" s="1"/>
  <c r="AA242" i="1"/>
  <c r="AB242" i="1" s="1"/>
  <c r="AA182" i="1"/>
  <c r="AB182" i="1" s="1"/>
  <c r="AA122" i="1"/>
  <c r="AB122" i="1" s="1"/>
  <c r="AA74" i="1"/>
  <c r="AB74" i="1" s="1"/>
  <c r="AA365" i="1"/>
  <c r="AB365" i="1" s="1"/>
  <c r="AA317" i="1"/>
  <c r="AB317" i="1" s="1"/>
  <c r="AA257" i="1"/>
  <c r="AB257" i="1" s="1"/>
  <c r="AA173" i="1"/>
  <c r="AB173" i="1" s="1"/>
  <c r="AA125" i="1"/>
  <c r="AB125" i="1" s="1"/>
  <c r="AA29" i="1"/>
  <c r="AB29" i="1" s="1"/>
  <c r="AA16" i="1"/>
  <c r="AB16" i="1" s="1"/>
  <c r="AA316" i="1"/>
  <c r="AB316" i="1" s="1"/>
  <c r="AA244" i="1"/>
  <c r="AB244" i="1" s="1"/>
  <c r="AA184" i="1"/>
  <c r="AB184" i="1" s="1"/>
  <c r="AA124" i="1"/>
  <c r="AB124" i="1" s="1"/>
  <c r="AA40" i="1"/>
  <c r="AB40" i="1" s="1"/>
  <c r="AA363" i="1"/>
  <c r="AB363" i="1" s="1"/>
  <c r="AA291" i="1"/>
  <c r="AB291" i="1" s="1"/>
  <c r="AA219" i="1"/>
  <c r="AB219" i="1" s="1"/>
  <c r="AA123" i="1"/>
  <c r="AB123" i="1" s="1"/>
  <c r="AA27" i="1"/>
  <c r="AB27" i="1" s="1"/>
  <c r="AA14" i="1"/>
  <c r="AB14" i="1" s="1"/>
  <c r="AA314" i="1"/>
  <c r="AB314" i="1" s="1"/>
  <c r="AA254" i="1"/>
  <c r="AB254" i="1" s="1"/>
  <c r="AA194" i="1"/>
  <c r="AB194" i="1" s="1"/>
  <c r="AA134" i="1"/>
  <c r="AB134" i="1" s="1"/>
  <c r="AA86" i="1"/>
  <c r="AB86" i="1" s="1"/>
  <c r="AB11" i="1"/>
  <c r="AA17" i="1"/>
  <c r="AB17" i="1" s="1"/>
  <c r="AA221" i="1"/>
  <c r="AB221" i="1" s="1"/>
  <c r="AA65" i="1"/>
  <c r="AB65" i="1" s="1"/>
  <c r="AA352" i="1"/>
  <c r="AB352" i="1" s="1"/>
  <c r="AA208" i="1"/>
  <c r="AB208" i="1" s="1"/>
  <c r="AA76" i="1"/>
  <c r="AB76" i="1" s="1"/>
  <c r="AA351" i="1"/>
  <c r="AB351" i="1" s="1"/>
  <c r="AA195" i="1"/>
  <c r="AB195" i="1" s="1"/>
  <c r="AA63" i="1"/>
  <c r="AB63" i="1" s="1"/>
  <c r="AA266" i="1"/>
  <c r="AB266" i="1" s="1"/>
  <c r="AA146" i="1"/>
  <c r="AB146" i="1" s="1"/>
  <c r="AA50" i="1"/>
  <c r="AB50" i="1" s="1"/>
  <c r="AA329" i="1"/>
  <c r="AB329" i="1" s="1"/>
  <c r="AA269" i="1"/>
  <c r="AB269" i="1" s="1"/>
  <c r="AA197" i="1"/>
  <c r="AB197" i="1" s="1"/>
  <c r="AA137" i="1"/>
  <c r="AB137" i="1" s="1"/>
  <c r="AA53" i="1"/>
  <c r="AB53" i="1" s="1"/>
  <c r="AA328" i="1"/>
  <c r="AB328" i="1" s="1"/>
  <c r="AA256" i="1"/>
  <c r="AB256" i="1" s="1"/>
  <c r="AA196" i="1"/>
  <c r="AB196" i="1" s="1"/>
  <c r="AA148" i="1"/>
  <c r="AB148" i="1" s="1"/>
  <c r="AA88" i="1"/>
  <c r="AB88" i="1" s="1"/>
  <c r="AA327" i="1"/>
  <c r="AB327" i="1" s="1"/>
  <c r="AA267" i="1"/>
  <c r="AB267" i="1" s="1"/>
  <c r="AA183" i="1"/>
  <c r="AB183" i="1" s="1"/>
  <c r="AA135" i="1"/>
  <c r="AB135" i="1" s="1"/>
  <c r="AA87" i="1"/>
  <c r="AB87" i="1" s="1"/>
  <c r="AA39" i="1"/>
  <c r="AB39" i="1" s="1"/>
  <c r="AA338" i="1"/>
  <c r="AB338" i="1" s="1"/>
  <c r="AA290" i="1"/>
  <c r="AB290" i="1" s="1"/>
  <c r="AA230" i="1"/>
  <c r="AB230" i="1" s="1"/>
  <c r="AA170" i="1"/>
  <c r="AB170" i="1" s="1"/>
  <c r="AA98" i="1"/>
  <c r="AB98" i="1" s="1"/>
  <c r="AA38" i="1"/>
  <c r="AB38" i="1" s="1"/>
  <c r="AA353" i="1"/>
  <c r="AB353" i="1" s="1"/>
  <c r="AA305" i="1"/>
  <c r="AB305" i="1" s="1"/>
  <c r="AA233" i="1"/>
  <c r="AB233" i="1" s="1"/>
  <c r="AA161" i="1"/>
  <c r="AB161" i="1" s="1"/>
  <c r="AA113" i="1"/>
  <c r="AB113" i="1" s="1"/>
  <c r="AA41" i="1"/>
  <c r="AB41" i="1" s="1"/>
  <c r="AA364" i="1"/>
  <c r="AB364" i="1" s="1"/>
  <c r="AA304" i="1"/>
  <c r="AB304" i="1" s="1"/>
  <c r="AA232" i="1"/>
  <c r="AB232" i="1" s="1"/>
  <c r="AA172" i="1"/>
  <c r="AB172" i="1" s="1"/>
  <c r="AA112" i="1"/>
  <c r="AB112" i="1" s="1"/>
  <c r="AA52" i="1"/>
  <c r="AB52" i="1" s="1"/>
  <c r="AA15" i="1"/>
  <c r="AB15" i="1" s="1"/>
  <c r="AA303" i="1"/>
  <c r="AB303" i="1" s="1"/>
  <c r="AA243" i="1"/>
  <c r="AB243" i="1" s="1"/>
  <c r="AA147" i="1"/>
  <c r="AB147" i="1" s="1"/>
  <c r="AA75" i="1"/>
  <c r="AB75" i="1" s="1"/>
  <c r="AA326" i="1"/>
  <c r="AB326" i="1" s="1"/>
  <c r="AA278" i="1"/>
  <c r="AB278" i="1" s="1"/>
  <c r="AA206" i="1"/>
  <c r="AB206" i="1" s="1"/>
  <c r="AA158" i="1"/>
  <c r="AB158" i="1" s="1"/>
  <c r="AA110" i="1"/>
  <c r="AB110" i="1" s="1"/>
  <c r="AA62" i="1"/>
  <c r="AB62" i="1" s="1"/>
  <c r="AA18" i="1"/>
  <c r="AB18" i="1" s="1"/>
  <c r="AA366" i="1"/>
  <c r="AB366" i="1" s="1"/>
  <c r="AA354" i="1"/>
  <c r="AB354" i="1" s="1"/>
  <c r="AA342" i="1"/>
  <c r="AB342" i="1" s="1"/>
  <c r="AA330" i="1"/>
  <c r="AB330" i="1" s="1"/>
  <c r="AA318" i="1"/>
  <c r="AB318" i="1" s="1"/>
  <c r="AA306" i="1"/>
  <c r="AB306" i="1" s="1"/>
  <c r="AA294" i="1"/>
  <c r="AB294" i="1" s="1"/>
  <c r="AA282" i="1"/>
  <c r="AB282" i="1" s="1"/>
  <c r="AA270" i="1"/>
  <c r="AB270" i="1" s="1"/>
  <c r="AA258" i="1"/>
  <c r="AB258" i="1" s="1"/>
  <c r="AA246" i="1"/>
  <c r="AB246" i="1" s="1"/>
  <c r="AA234" i="1"/>
  <c r="AB234" i="1" s="1"/>
  <c r="AA222" i="1"/>
  <c r="AB222" i="1" s="1"/>
  <c r="AA210" i="1"/>
  <c r="AB210" i="1" s="1"/>
  <c r="AA198" i="1"/>
  <c r="AB198" i="1" s="1"/>
  <c r="AA186" i="1"/>
  <c r="AB186" i="1" s="1"/>
  <c r="AA174" i="1"/>
  <c r="AB174" i="1" s="1"/>
  <c r="AA162" i="1"/>
  <c r="AB162" i="1" s="1"/>
  <c r="AA150" i="1"/>
  <c r="AB150" i="1" s="1"/>
  <c r="AA138" i="1"/>
  <c r="AB138" i="1" s="1"/>
  <c r="AA126" i="1"/>
  <c r="AB126" i="1" s="1"/>
  <c r="AA114" i="1"/>
  <c r="AB114" i="1" s="1"/>
  <c r="AA102" i="1"/>
  <c r="AB102" i="1" s="1"/>
  <c r="AA90" i="1"/>
  <c r="AB90" i="1" s="1"/>
  <c r="AA78" i="1"/>
  <c r="AB78" i="1" s="1"/>
  <c r="AA66" i="1"/>
  <c r="AB66" i="1" s="1"/>
  <c r="AA54" i="1"/>
  <c r="AB54" i="1" s="1"/>
  <c r="AA42" i="1"/>
  <c r="AB42" i="1" s="1"/>
  <c r="AA30" i="1"/>
  <c r="AB30" i="1" s="1"/>
  <c r="R11" i="1"/>
  <c r="AD354" i="1" l="1"/>
  <c r="AD303" i="1"/>
  <c r="AD305" i="1"/>
  <c r="AD267" i="1"/>
  <c r="AD50" i="1"/>
  <c r="AD40" i="1"/>
  <c r="AD74" i="1"/>
  <c r="AD28" i="1"/>
  <c r="AD99" i="1"/>
  <c r="AD245" i="1"/>
  <c r="AD157" i="1"/>
  <c r="AD301" i="1"/>
  <c r="AD78" i="1"/>
  <c r="AD222" i="1"/>
  <c r="AD366" i="1"/>
  <c r="AD15" i="1"/>
  <c r="AD353" i="1"/>
  <c r="AD327" i="1"/>
  <c r="AD146" i="1"/>
  <c r="AD86" i="1"/>
  <c r="AD124" i="1"/>
  <c r="AD122" i="1"/>
  <c r="AD100" i="1"/>
  <c r="AD207" i="1"/>
  <c r="AD25" i="1"/>
  <c r="AD169" i="1"/>
  <c r="AD313" i="1"/>
  <c r="AD90" i="1"/>
  <c r="AD266" i="1"/>
  <c r="AD315" i="1"/>
  <c r="AD148" i="1"/>
  <c r="AD136" i="1"/>
  <c r="AD258" i="1"/>
  <c r="AD254" i="1"/>
  <c r="AD205" i="1"/>
  <c r="AD126" i="1"/>
  <c r="AD270" i="1"/>
  <c r="AD158" i="1"/>
  <c r="AD232" i="1"/>
  <c r="AD230" i="1"/>
  <c r="AD256" i="1"/>
  <c r="AD351" i="1"/>
  <c r="AD314" i="1"/>
  <c r="AD16" i="1"/>
  <c r="AD350" i="1"/>
  <c r="AD340" i="1"/>
  <c r="AD101" i="1"/>
  <c r="AD73" i="1"/>
  <c r="AD217" i="1"/>
  <c r="AD361" i="1"/>
  <c r="AD134" i="1"/>
  <c r="AD325" i="1"/>
  <c r="AD62" i="1"/>
  <c r="AD242" i="1"/>
  <c r="AD110" i="1"/>
  <c r="AD316" i="1"/>
  <c r="AD206" i="1"/>
  <c r="AD185" i="1"/>
  <c r="AD18" i="1"/>
  <c r="AD184" i="1"/>
  <c r="AD246" i="1"/>
  <c r="AD194" i="1"/>
  <c r="AD193" i="1"/>
  <c r="AD170" i="1"/>
  <c r="AD61" i="1"/>
  <c r="AD14" i="1"/>
  <c r="AD13" i="1"/>
  <c r="AD150" i="1"/>
  <c r="AD294" i="1"/>
  <c r="AD278" i="1"/>
  <c r="AD364" i="1"/>
  <c r="AD338" i="1"/>
  <c r="AD53" i="1"/>
  <c r="AD208" i="1"/>
  <c r="AD27" i="1"/>
  <c r="AD125" i="1"/>
  <c r="AD111" i="1"/>
  <c r="AD149" i="1"/>
  <c r="AD293" i="1"/>
  <c r="AD97" i="1"/>
  <c r="AD241" i="1"/>
  <c r="AD362" i="1"/>
  <c r="AD234" i="1"/>
  <c r="AD182" i="1"/>
  <c r="AD63" i="1"/>
  <c r="AD337" i="1"/>
  <c r="AD196" i="1"/>
  <c r="AD268" i="1"/>
  <c r="AD282" i="1"/>
  <c r="AD76" i="1"/>
  <c r="AD51" i="1"/>
  <c r="AD162" i="1"/>
  <c r="AD306" i="1"/>
  <c r="AD326" i="1"/>
  <c r="AD41" i="1"/>
  <c r="AD39" i="1"/>
  <c r="AD137" i="1"/>
  <c r="AD352" i="1"/>
  <c r="AD123" i="1"/>
  <c r="AD173" i="1"/>
  <c r="AD159" i="1"/>
  <c r="AD209" i="1"/>
  <c r="AD255" i="1"/>
  <c r="AD109" i="1"/>
  <c r="AD253" i="1"/>
  <c r="AD171" i="1"/>
  <c r="AD52" i="1"/>
  <c r="AD181" i="1"/>
  <c r="AD102" i="1"/>
  <c r="AD244" i="1"/>
  <c r="AD114" i="1"/>
  <c r="AD292" i="1"/>
  <c r="AD290" i="1"/>
  <c r="AD85" i="1"/>
  <c r="AD174" i="1"/>
  <c r="AD318" i="1"/>
  <c r="AD75" i="1"/>
  <c r="AD113" i="1"/>
  <c r="AD87" i="1"/>
  <c r="AD197" i="1"/>
  <c r="AD65" i="1"/>
  <c r="AD219" i="1"/>
  <c r="AD257" i="1"/>
  <c r="AD231" i="1"/>
  <c r="AD281" i="1"/>
  <c r="AD64" i="1"/>
  <c r="AD121" i="1"/>
  <c r="AD265" i="1"/>
  <c r="AD210" i="1"/>
  <c r="AD88" i="1"/>
  <c r="AD160" i="1"/>
  <c r="AD98" i="1"/>
  <c r="AD49" i="1"/>
  <c r="AD195" i="1"/>
  <c r="AD349" i="1"/>
  <c r="AD138" i="1"/>
  <c r="AD328" i="1"/>
  <c r="AD89" i="1"/>
  <c r="AD30" i="1"/>
  <c r="AD42" i="1"/>
  <c r="AD186" i="1"/>
  <c r="AD330" i="1"/>
  <c r="AD147" i="1"/>
  <c r="AD161" i="1"/>
  <c r="AD135" i="1"/>
  <c r="AD269" i="1"/>
  <c r="AD221" i="1"/>
  <c r="AD291" i="1"/>
  <c r="AD317" i="1"/>
  <c r="AD279" i="1"/>
  <c r="AD341" i="1"/>
  <c r="AD280" i="1"/>
  <c r="AD133" i="1"/>
  <c r="AD277" i="1"/>
  <c r="AD66" i="1"/>
  <c r="AD38" i="1"/>
  <c r="AD37" i="1"/>
  <c r="AD112" i="1"/>
  <c r="AD220" i="1"/>
  <c r="AD172" i="1"/>
  <c r="AD302" i="1"/>
  <c r="AD304" i="1"/>
  <c r="AD29" i="1"/>
  <c r="AD229" i="1"/>
  <c r="AD54" i="1"/>
  <c r="AD198" i="1"/>
  <c r="AD342" i="1"/>
  <c r="AD243" i="1"/>
  <c r="AD233" i="1"/>
  <c r="AD183" i="1"/>
  <c r="AD329" i="1"/>
  <c r="AD17" i="1"/>
  <c r="AD363" i="1"/>
  <c r="AD365" i="1"/>
  <c r="AD339" i="1"/>
  <c r="AD218" i="1"/>
  <c r="AD77" i="1"/>
  <c r="AD145" i="1"/>
  <c r="AD289" i="1"/>
  <c r="AD11" i="1"/>
  <c r="V12" i="1"/>
  <c r="Q13" i="1" s="1"/>
  <c r="W13" i="1" s="1"/>
  <c r="R12" i="1"/>
  <c r="B11" i="1"/>
  <c r="AD372" i="1" l="1"/>
  <c r="AQ11" i="1"/>
  <c r="AF11" i="1"/>
  <c r="V13" i="1"/>
  <c r="AG11" i="1"/>
  <c r="AH11" i="1" s="1"/>
  <c r="AI11" i="1" s="1"/>
  <c r="C11" i="1"/>
  <c r="S11" i="1" s="1"/>
  <c r="I10" i="1"/>
  <c r="T11" i="1" l="1"/>
  <c r="U11" i="1" s="1"/>
  <c r="AJ11" i="1"/>
  <c r="AM11" i="1"/>
  <c r="AN11" i="1" s="1"/>
  <c r="AK11" i="1"/>
  <c r="T27" i="2"/>
  <c r="D11" i="1"/>
  <c r="Q14" i="1"/>
  <c r="W14" i="1" s="1"/>
  <c r="R13" i="1"/>
  <c r="AL11" i="1" l="1"/>
  <c r="AP11" i="1" s="1"/>
  <c r="E11" i="1"/>
  <c r="V14" i="1"/>
  <c r="R14" i="1"/>
  <c r="R27" i="2" l="1"/>
  <c r="Q15" i="1"/>
  <c r="W15" i="1" s="1"/>
  <c r="H11" i="1"/>
  <c r="M11" i="1" s="1"/>
  <c r="L11" i="1" s="1"/>
  <c r="J12" i="1" s="1"/>
  <c r="F11" i="1"/>
  <c r="G11" i="1" l="1"/>
  <c r="AO11" i="1" s="1"/>
  <c r="V15" i="1"/>
  <c r="Q16" i="1" s="1"/>
  <c r="W16" i="1" s="1"/>
  <c r="R15" i="1"/>
  <c r="I11" i="1"/>
  <c r="B12" i="1" l="1"/>
  <c r="V16" i="1"/>
  <c r="Q17" i="1" s="1"/>
  <c r="W17" i="1" s="1"/>
  <c r="R16" i="1"/>
  <c r="K12" i="1"/>
  <c r="AQ12" i="1" l="1"/>
  <c r="AF12" i="1"/>
  <c r="V17" i="1"/>
  <c r="Q18" i="1" s="1"/>
  <c r="W18" i="1" s="1"/>
  <c r="R17" i="1"/>
  <c r="C12" i="1"/>
  <c r="AG12" i="1"/>
  <c r="AH12" i="1" s="1"/>
  <c r="AI12" i="1" l="1"/>
  <c r="AJ12" i="1" s="1"/>
  <c r="AM12" i="1"/>
  <c r="AN12" i="1" s="1"/>
  <c r="AK12" i="1"/>
  <c r="V18" i="1"/>
  <c r="Q19" i="1" s="1"/>
  <c r="W19" i="1" s="1"/>
  <c r="R18" i="1"/>
  <c r="D12" i="1"/>
  <c r="S12" i="1"/>
  <c r="AL12" i="1" l="1"/>
  <c r="AP12" i="1" s="1"/>
  <c r="T12" i="1"/>
  <c r="U12" i="1" s="1"/>
  <c r="E12" i="1"/>
  <c r="F12" i="1" s="1"/>
  <c r="V19" i="1"/>
  <c r="Q20" i="1" s="1"/>
  <c r="W20" i="1" s="1"/>
  <c r="R19" i="1"/>
  <c r="H12" i="1" l="1"/>
  <c r="G12" i="1" s="1"/>
  <c r="V20" i="1"/>
  <c r="Q21" i="1" s="1"/>
  <c r="W21" i="1" s="1"/>
  <c r="R20" i="1"/>
  <c r="B13" i="1" l="1"/>
  <c r="AF13" i="1" s="1"/>
  <c r="AO12" i="1"/>
  <c r="M12" i="1"/>
  <c r="L12" i="1" s="1"/>
  <c r="J13" i="1" s="1"/>
  <c r="K13" i="1" s="1"/>
  <c r="AQ13" i="1" s="1"/>
  <c r="I12" i="1"/>
  <c r="V21" i="1"/>
  <c r="Q22" i="1" s="1"/>
  <c r="W22" i="1" s="1"/>
  <c r="R21" i="1"/>
  <c r="C13" i="1" l="1"/>
  <c r="AG13" i="1"/>
  <c r="AH13" i="1" s="1"/>
  <c r="AK13" i="1" s="1"/>
  <c r="V22" i="1"/>
  <c r="Q23" i="1" s="1"/>
  <c r="W23" i="1" s="1"/>
  <c r="R22" i="1"/>
  <c r="D13" i="1" l="1"/>
  <c r="E13" i="1" s="1"/>
  <c r="F13" i="1" s="1"/>
  <c r="S13" i="1"/>
  <c r="T13" i="1" s="1"/>
  <c r="U13" i="1" s="1"/>
  <c r="AM13" i="1"/>
  <c r="AN13" i="1" s="1"/>
  <c r="AI13" i="1"/>
  <c r="AJ13" i="1" s="1"/>
  <c r="AL13" i="1"/>
  <c r="V23" i="1"/>
  <c r="Q24" i="1" s="1"/>
  <c r="W24" i="1" s="1"/>
  <c r="R23" i="1"/>
  <c r="H13" i="1" l="1"/>
  <c r="I13" i="1" s="1"/>
  <c r="AP13" i="1"/>
  <c r="V24" i="1"/>
  <c r="Q25" i="1" s="1"/>
  <c r="W25" i="1" s="1"/>
  <c r="R24" i="1"/>
  <c r="M13" i="1" l="1"/>
  <c r="L13" i="1" s="1"/>
  <c r="J14" i="1" s="1"/>
  <c r="K14" i="1" s="1"/>
  <c r="AQ14" i="1" s="1"/>
  <c r="G13" i="1"/>
  <c r="V25" i="1"/>
  <c r="Q26" i="1" s="1"/>
  <c r="W26" i="1" s="1"/>
  <c r="R25" i="1"/>
  <c r="AO13" i="1" l="1"/>
  <c r="B14" i="1"/>
  <c r="V26" i="1"/>
  <c r="Q27" i="1" s="1"/>
  <c r="W27" i="1" s="1"/>
  <c r="R26" i="1"/>
  <c r="AF14" i="1" l="1"/>
  <c r="C14" i="1"/>
  <c r="AG14" i="1"/>
  <c r="AH14" i="1" s="1"/>
  <c r="V27" i="1"/>
  <c r="Q28" i="1" s="1"/>
  <c r="W28" i="1" s="1"/>
  <c r="R27" i="1"/>
  <c r="D14" i="1" l="1"/>
  <c r="E14" i="1" s="1"/>
  <c r="H14" i="1" s="1"/>
  <c r="M14" i="1" s="1"/>
  <c r="L14" i="1" s="1"/>
  <c r="J15" i="1" s="1"/>
  <c r="K15" i="1" s="1"/>
  <c r="AQ15" i="1" s="1"/>
  <c r="S14" i="1"/>
  <c r="T14" i="1" s="1"/>
  <c r="U14" i="1" s="1"/>
  <c r="AK14" i="1"/>
  <c r="AL14" i="1" s="1"/>
  <c r="AM14" i="1"/>
  <c r="AN14" i="1" s="1"/>
  <c r="AI14" i="1"/>
  <c r="AJ14" i="1" s="1"/>
  <c r="V28" i="1"/>
  <c r="Q29" i="1" s="1"/>
  <c r="W29" i="1" s="1"/>
  <c r="R28" i="1"/>
  <c r="I14" i="1" l="1"/>
  <c r="F14" i="1"/>
  <c r="G14" i="1" s="1"/>
  <c r="AP14" i="1"/>
  <c r="V29" i="1"/>
  <c r="Q30" i="1" s="1"/>
  <c r="W30" i="1" s="1"/>
  <c r="R29" i="1"/>
  <c r="AO14" i="1" l="1"/>
  <c r="B15" i="1"/>
  <c r="AF15" i="1" s="1"/>
  <c r="V30" i="1"/>
  <c r="Q31" i="1" s="1"/>
  <c r="W31" i="1" s="1"/>
  <c r="R30" i="1"/>
  <c r="AG15" i="1" l="1"/>
  <c r="AH15" i="1" s="1"/>
  <c r="AM15" i="1" s="1"/>
  <c r="AN15" i="1" s="1"/>
  <c r="C15" i="1"/>
  <c r="V31" i="1"/>
  <c r="Q32" i="1" s="1"/>
  <c r="W32" i="1" s="1"/>
  <c r="R31" i="1"/>
  <c r="AK15" i="1" l="1"/>
  <c r="AL15" i="1" s="1"/>
  <c r="AI15" i="1"/>
  <c r="AJ15" i="1" s="1"/>
  <c r="D15" i="1"/>
  <c r="E15" i="1" s="1"/>
  <c r="S15" i="1"/>
  <c r="T15" i="1" s="1"/>
  <c r="U15" i="1" s="1"/>
  <c r="V32" i="1"/>
  <c r="Q33" i="1" s="1"/>
  <c r="W33" i="1" s="1"/>
  <c r="R32" i="1"/>
  <c r="AP15" i="1" l="1"/>
  <c r="F15" i="1"/>
  <c r="H15" i="1"/>
  <c r="V33" i="1"/>
  <c r="Q34" i="1" s="1"/>
  <c r="W34" i="1" s="1"/>
  <c r="R33" i="1"/>
  <c r="M15" i="1" l="1"/>
  <c r="L15" i="1" s="1"/>
  <c r="J16" i="1" s="1"/>
  <c r="K16" i="1" s="1"/>
  <c r="AQ16" i="1" s="1"/>
  <c r="G15" i="1"/>
  <c r="I15" i="1"/>
  <c r="V34" i="1"/>
  <c r="Q35" i="1" s="1"/>
  <c r="W35" i="1" s="1"/>
  <c r="R34" i="1"/>
  <c r="AO15" i="1" l="1"/>
  <c r="B16" i="1"/>
  <c r="V35" i="1"/>
  <c r="Q36" i="1" s="1"/>
  <c r="W36" i="1" s="1"/>
  <c r="R35" i="1"/>
  <c r="C16" i="1" l="1"/>
  <c r="AG16" i="1"/>
  <c r="AH16" i="1" s="1"/>
  <c r="AF16" i="1"/>
  <c r="V36" i="1"/>
  <c r="Q37" i="1" s="1"/>
  <c r="W37" i="1" s="1"/>
  <c r="R36" i="1"/>
  <c r="AM16" i="1" l="1"/>
  <c r="AN16" i="1" s="1"/>
  <c r="AK16" i="1"/>
  <c r="AL16" i="1" s="1"/>
  <c r="AI16" i="1"/>
  <c r="AJ16" i="1" s="1"/>
  <c r="D16" i="1"/>
  <c r="E16" i="1" s="1"/>
  <c r="S16" i="1"/>
  <c r="T16" i="1" s="1"/>
  <c r="U16" i="1" s="1"/>
  <c r="V37" i="1"/>
  <c r="Q38" i="1" s="1"/>
  <c r="W38" i="1" s="1"/>
  <c r="R37" i="1"/>
  <c r="AP16" i="1" l="1"/>
  <c r="H16" i="1"/>
  <c r="F16" i="1"/>
  <c r="V38" i="1"/>
  <c r="Q39" i="1" s="1"/>
  <c r="W39" i="1" s="1"/>
  <c r="R38" i="1"/>
  <c r="G16" i="1" l="1"/>
  <c r="M16" i="1"/>
  <c r="L16" i="1" s="1"/>
  <c r="J17" i="1" s="1"/>
  <c r="K17" i="1" s="1"/>
  <c r="AQ17" i="1" s="1"/>
  <c r="I16" i="1"/>
  <c r="V39" i="1"/>
  <c r="Q40" i="1" s="1"/>
  <c r="W40" i="1" s="1"/>
  <c r="R39" i="1"/>
  <c r="AO16" i="1" l="1"/>
  <c r="B17" i="1"/>
  <c r="V40" i="1"/>
  <c r="Q41" i="1" s="1"/>
  <c r="W41" i="1" s="1"/>
  <c r="R40" i="1"/>
  <c r="C17" i="1" l="1"/>
  <c r="AG17" i="1"/>
  <c r="AH17" i="1" s="1"/>
  <c r="AF17" i="1"/>
  <c r="V41" i="1"/>
  <c r="Q42" i="1" s="1"/>
  <c r="W42" i="1" s="1"/>
  <c r="R41" i="1"/>
  <c r="AK17" i="1" l="1"/>
  <c r="AL17" i="1" s="1"/>
  <c r="AI17" i="1"/>
  <c r="AJ17" i="1" s="1"/>
  <c r="AM17" i="1"/>
  <c r="AN17" i="1" s="1"/>
  <c r="D17" i="1"/>
  <c r="E17" i="1" s="1"/>
  <c r="S17" i="1"/>
  <c r="T17" i="1" s="1"/>
  <c r="U17" i="1" s="1"/>
  <c r="V42" i="1"/>
  <c r="Q43" i="1" s="1"/>
  <c r="W43" i="1" s="1"/>
  <c r="R42" i="1"/>
  <c r="AP17" i="1" l="1"/>
  <c r="H17" i="1"/>
  <c r="F17" i="1"/>
  <c r="V43" i="1"/>
  <c r="Q44" i="1" s="1"/>
  <c r="W44" i="1" s="1"/>
  <c r="R43" i="1"/>
  <c r="I17" i="1" l="1"/>
  <c r="M17" i="1"/>
  <c r="L17" i="1" s="1"/>
  <c r="J18" i="1" s="1"/>
  <c r="K18" i="1" s="1"/>
  <c r="AQ18" i="1" s="1"/>
  <c r="G17" i="1"/>
  <c r="V44" i="1"/>
  <c r="Q45" i="1" s="1"/>
  <c r="W45" i="1" s="1"/>
  <c r="R44" i="1"/>
  <c r="B18" i="1" l="1"/>
  <c r="AO17" i="1"/>
  <c r="V45" i="1"/>
  <c r="Q46" i="1" s="1"/>
  <c r="W46" i="1" s="1"/>
  <c r="R45" i="1"/>
  <c r="AF18" i="1" l="1"/>
  <c r="C18" i="1"/>
  <c r="AG18" i="1"/>
  <c r="AH18" i="1" s="1"/>
  <c r="V46" i="1"/>
  <c r="Q47" i="1" s="1"/>
  <c r="W47" i="1" s="1"/>
  <c r="R46" i="1"/>
  <c r="AK18" i="1" l="1"/>
  <c r="AL18" i="1" s="1"/>
  <c r="AM18" i="1"/>
  <c r="AN18" i="1" s="1"/>
  <c r="AI18" i="1"/>
  <c r="AJ18" i="1" s="1"/>
  <c r="S18" i="1"/>
  <c r="T18" i="1" s="1"/>
  <c r="U18" i="1" s="1"/>
  <c r="D18" i="1"/>
  <c r="E18" i="1" s="1"/>
  <c r="V47" i="1"/>
  <c r="Q48" i="1" s="1"/>
  <c r="W48" i="1" s="1"/>
  <c r="R47" i="1"/>
  <c r="H18" i="1" l="1"/>
  <c r="F18" i="1"/>
  <c r="AP18" i="1"/>
  <c r="V48" i="1"/>
  <c r="Q49" i="1" s="1"/>
  <c r="W49" i="1" s="1"/>
  <c r="R48" i="1"/>
  <c r="M18" i="1" l="1"/>
  <c r="L18" i="1" s="1"/>
  <c r="J19" i="1" s="1"/>
  <c r="K19" i="1" s="1"/>
  <c r="AQ19" i="1" s="1"/>
  <c r="I18" i="1"/>
  <c r="G18" i="1"/>
  <c r="V49" i="1"/>
  <c r="Q50" i="1" s="1"/>
  <c r="W50" i="1" s="1"/>
  <c r="R49" i="1"/>
  <c r="B19" i="1" l="1"/>
  <c r="AO18" i="1"/>
  <c r="V50" i="1"/>
  <c r="Q51" i="1" s="1"/>
  <c r="W51" i="1" s="1"/>
  <c r="R50" i="1"/>
  <c r="AF19" i="1" l="1"/>
  <c r="C19" i="1"/>
  <c r="AG19" i="1"/>
  <c r="AH19" i="1" s="1"/>
  <c r="V51" i="1"/>
  <c r="Q52" i="1" s="1"/>
  <c r="W52" i="1" s="1"/>
  <c r="R51" i="1"/>
  <c r="AI19" i="1" l="1"/>
  <c r="AJ19" i="1" s="1"/>
  <c r="AM19" i="1"/>
  <c r="AN19" i="1" s="1"/>
  <c r="AK19" i="1"/>
  <c r="AL19" i="1" s="1"/>
  <c r="D19" i="1"/>
  <c r="E19" i="1" s="1"/>
  <c r="S19" i="1"/>
  <c r="T19" i="1" s="1"/>
  <c r="U19" i="1" s="1"/>
  <c r="V52" i="1"/>
  <c r="Q53" i="1" s="1"/>
  <c r="W53" i="1" s="1"/>
  <c r="R52" i="1"/>
  <c r="H19" i="1" l="1"/>
  <c r="F19" i="1"/>
  <c r="AP19" i="1"/>
  <c r="V53" i="1"/>
  <c r="Q54" i="1" s="1"/>
  <c r="W54" i="1" s="1"/>
  <c r="R53" i="1"/>
  <c r="G19" i="1" l="1"/>
  <c r="M19" i="1"/>
  <c r="L19" i="1" s="1"/>
  <c r="J20" i="1" s="1"/>
  <c r="K20" i="1" s="1"/>
  <c r="AQ20" i="1" s="1"/>
  <c r="I19" i="1"/>
  <c r="V54" i="1"/>
  <c r="Q55" i="1" s="1"/>
  <c r="W55" i="1" s="1"/>
  <c r="R54" i="1"/>
  <c r="B20" i="1" l="1"/>
  <c r="AO19" i="1"/>
  <c r="V55" i="1"/>
  <c r="Q56" i="1" s="1"/>
  <c r="W56" i="1" s="1"/>
  <c r="R55" i="1"/>
  <c r="AF20" i="1" l="1"/>
  <c r="C20" i="1"/>
  <c r="AG20" i="1"/>
  <c r="AH20" i="1" s="1"/>
  <c r="V56" i="1"/>
  <c r="Q57" i="1" s="1"/>
  <c r="W57" i="1" s="1"/>
  <c r="R56" i="1"/>
  <c r="AM20" i="1" l="1"/>
  <c r="AN20" i="1" s="1"/>
  <c r="AK20" i="1"/>
  <c r="AL20" i="1" s="1"/>
  <c r="AI20" i="1"/>
  <c r="AJ20" i="1" s="1"/>
  <c r="D20" i="1"/>
  <c r="E20" i="1" s="1"/>
  <c r="S20" i="1"/>
  <c r="T20" i="1" s="1"/>
  <c r="U20" i="1" s="1"/>
  <c r="V57" i="1"/>
  <c r="Q58" i="1" s="1"/>
  <c r="W58" i="1" s="1"/>
  <c r="R57" i="1"/>
  <c r="AP20" i="1" l="1"/>
  <c r="H20" i="1"/>
  <c r="F20" i="1"/>
  <c r="V58" i="1"/>
  <c r="Q59" i="1" s="1"/>
  <c r="W59" i="1" s="1"/>
  <c r="R58" i="1"/>
  <c r="G20" i="1" l="1"/>
  <c r="M20" i="1"/>
  <c r="L20" i="1" s="1"/>
  <c r="J21" i="1" s="1"/>
  <c r="K21" i="1" s="1"/>
  <c r="AQ21" i="1" s="1"/>
  <c r="I20" i="1"/>
  <c r="V59" i="1"/>
  <c r="Q60" i="1" s="1"/>
  <c r="W60" i="1" s="1"/>
  <c r="R59" i="1"/>
  <c r="AO20" i="1" l="1"/>
  <c r="B21" i="1"/>
  <c r="V60" i="1"/>
  <c r="Q61" i="1" s="1"/>
  <c r="W61" i="1" s="1"/>
  <c r="R60" i="1"/>
  <c r="AG21" i="1" l="1"/>
  <c r="AH21" i="1" s="1"/>
  <c r="AF21" i="1"/>
  <c r="C21" i="1"/>
  <c r="V61" i="1"/>
  <c r="Q62" i="1" s="1"/>
  <c r="W62" i="1" s="1"/>
  <c r="R61" i="1"/>
  <c r="S21" i="1" l="1"/>
  <c r="T21" i="1" s="1"/>
  <c r="U21" i="1" s="1"/>
  <c r="D21" i="1"/>
  <c r="E21" i="1" s="1"/>
  <c r="AI21" i="1"/>
  <c r="AJ21" i="1" s="1"/>
  <c r="AM21" i="1"/>
  <c r="AN21" i="1" s="1"/>
  <c r="AK21" i="1"/>
  <c r="AL21" i="1" s="1"/>
  <c r="V62" i="1"/>
  <c r="Q63" i="1" s="1"/>
  <c r="W63" i="1" s="1"/>
  <c r="R62" i="1"/>
  <c r="AP21" i="1" l="1"/>
  <c r="H21" i="1"/>
  <c r="F21" i="1"/>
  <c r="V63" i="1"/>
  <c r="Q64" i="1" s="1"/>
  <c r="W64" i="1" s="1"/>
  <c r="R63" i="1"/>
  <c r="M21" i="1" l="1"/>
  <c r="L21" i="1" s="1"/>
  <c r="J22" i="1" s="1"/>
  <c r="K22" i="1" s="1"/>
  <c r="AQ22" i="1" s="1"/>
  <c r="G21" i="1"/>
  <c r="I21" i="1"/>
  <c r="V64" i="1"/>
  <c r="Q65" i="1" s="1"/>
  <c r="W65" i="1" s="1"/>
  <c r="R64" i="1"/>
  <c r="AO21" i="1" l="1"/>
  <c r="B22" i="1"/>
  <c r="V65" i="1"/>
  <c r="Q66" i="1" s="1"/>
  <c r="W66" i="1" s="1"/>
  <c r="R65" i="1"/>
  <c r="C22" i="1" l="1"/>
  <c r="AG22" i="1"/>
  <c r="AH22" i="1" s="1"/>
  <c r="AF22" i="1"/>
  <c r="V66" i="1"/>
  <c r="Q67" i="1" s="1"/>
  <c r="W67" i="1" s="1"/>
  <c r="R66" i="1"/>
  <c r="AI22" i="1" l="1"/>
  <c r="AJ22" i="1" s="1"/>
  <c r="AM22" i="1"/>
  <c r="AN22" i="1" s="1"/>
  <c r="AK22" i="1"/>
  <c r="AL22" i="1" s="1"/>
  <c r="D22" i="1"/>
  <c r="E22" i="1" s="1"/>
  <c r="S22" i="1"/>
  <c r="T22" i="1" s="1"/>
  <c r="U22" i="1" s="1"/>
  <c r="V67" i="1"/>
  <c r="Q68" i="1" s="1"/>
  <c r="W68" i="1" s="1"/>
  <c r="R67" i="1"/>
  <c r="H22" i="1" l="1"/>
  <c r="F22" i="1"/>
  <c r="AP22" i="1"/>
  <c r="V68" i="1"/>
  <c r="Q69" i="1" s="1"/>
  <c r="W69" i="1" s="1"/>
  <c r="R68" i="1"/>
  <c r="M22" i="1" l="1"/>
  <c r="L22" i="1" s="1"/>
  <c r="J23" i="1" s="1"/>
  <c r="K23" i="1" s="1"/>
  <c r="AQ23" i="1" s="1"/>
  <c r="I22" i="1"/>
  <c r="G22" i="1"/>
  <c r="V69" i="1"/>
  <c r="Q70" i="1" s="1"/>
  <c r="W70" i="1" s="1"/>
  <c r="R69" i="1"/>
  <c r="AO22" i="1" l="1"/>
  <c r="B23" i="1"/>
  <c r="V70" i="1"/>
  <c r="Q71" i="1" s="1"/>
  <c r="W71" i="1" s="1"/>
  <c r="R70" i="1"/>
  <c r="AF23" i="1" l="1"/>
  <c r="AG23" i="1"/>
  <c r="AH23" i="1" s="1"/>
  <c r="C23" i="1"/>
  <c r="V71" i="1"/>
  <c r="Q72" i="1" s="1"/>
  <c r="W72" i="1" s="1"/>
  <c r="R71" i="1"/>
  <c r="AK23" i="1" l="1"/>
  <c r="AL23" i="1" s="1"/>
  <c r="AI23" i="1"/>
  <c r="AJ23" i="1" s="1"/>
  <c r="AM23" i="1"/>
  <c r="AN23" i="1" s="1"/>
  <c r="S23" i="1"/>
  <c r="T23" i="1" s="1"/>
  <c r="U23" i="1" s="1"/>
  <c r="D23" i="1"/>
  <c r="E23" i="1" s="1"/>
  <c r="V72" i="1"/>
  <c r="Q73" i="1" s="1"/>
  <c r="W73" i="1" s="1"/>
  <c r="R72" i="1"/>
  <c r="AP23" i="1" l="1"/>
  <c r="H23" i="1"/>
  <c r="F23" i="1"/>
  <c r="V73" i="1"/>
  <c r="Q74" i="1" s="1"/>
  <c r="W74" i="1" s="1"/>
  <c r="R73" i="1"/>
  <c r="M23" i="1" l="1"/>
  <c r="L23" i="1" s="1"/>
  <c r="J24" i="1" s="1"/>
  <c r="K24" i="1" s="1"/>
  <c r="AQ24" i="1" s="1"/>
  <c r="G23" i="1"/>
  <c r="I23" i="1"/>
  <c r="V74" i="1"/>
  <c r="Q75" i="1" s="1"/>
  <c r="W75" i="1" s="1"/>
  <c r="R74" i="1"/>
  <c r="AO23" i="1" l="1"/>
  <c r="B24" i="1"/>
  <c r="V75" i="1"/>
  <c r="Q76" i="1" s="1"/>
  <c r="W76" i="1" s="1"/>
  <c r="R75" i="1"/>
  <c r="AF24" i="1" l="1"/>
  <c r="AG24" i="1"/>
  <c r="AH24" i="1" s="1"/>
  <c r="C24" i="1"/>
  <c r="V76" i="1"/>
  <c r="Q77" i="1" s="1"/>
  <c r="W77" i="1" s="1"/>
  <c r="R76" i="1"/>
  <c r="AK24" i="1" l="1"/>
  <c r="AL24" i="1" s="1"/>
  <c r="AI24" i="1"/>
  <c r="AJ24" i="1" s="1"/>
  <c r="AM24" i="1"/>
  <c r="AN24" i="1" s="1"/>
  <c r="S24" i="1"/>
  <c r="T24" i="1" s="1"/>
  <c r="U24" i="1" s="1"/>
  <c r="D24" i="1"/>
  <c r="E24" i="1" s="1"/>
  <c r="V77" i="1"/>
  <c r="Q78" i="1" s="1"/>
  <c r="W78" i="1" s="1"/>
  <c r="R77" i="1"/>
  <c r="AP24" i="1" l="1"/>
  <c r="H24" i="1"/>
  <c r="F24" i="1"/>
  <c r="V78" i="1"/>
  <c r="Q79" i="1" s="1"/>
  <c r="W79" i="1" s="1"/>
  <c r="R78" i="1"/>
  <c r="M24" i="1" l="1"/>
  <c r="L24" i="1" s="1"/>
  <c r="J25" i="1" s="1"/>
  <c r="K25" i="1" s="1"/>
  <c r="AQ25" i="1" s="1"/>
  <c r="G24" i="1"/>
  <c r="I24" i="1"/>
  <c r="V79" i="1"/>
  <c r="Q80" i="1" s="1"/>
  <c r="W80" i="1" s="1"/>
  <c r="R79" i="1"/>
  <c r="AO24" i="1" l="1"/>
  <c r="B25" i="1"/>
  <c r="V80" i="1"/>
  <c r="Q81" i="1" s="1"/>
  <c r="W81" i="1" s="1"/>
  <c r="R80" i="1"/>
  <c r="AF25" i="1" l="1"/>
  <c r="C25" i="1"/>
  <c r="AG25" i="1"/>
  <c r="AH25" i="1" s="1"/>
  <c r="V81" i="1"/>
  <c r="Q82" i="1" s="1"/>
  <c r="W82" i="1" s="1"/>
  <c r="R81" i="1"/>
  <c r="S25" i="1" l="1"/>
  <c r="T25" i="1" s="1"/>
  <c r="U25" i="1" s="1"/>
  <c r="D25" i="1"/>
  <c r="E25" i="1" s="1"/>
  <c r="AK25" i="1"/>
  <c r="AL25" i="1" s="1"/>
  <c r="AI25" i="1"/>
  <c r="AJ25" i="1" s="1"/>
  <c r="AM25" i="1"/>
  <c r="AN25" i="1" s="1"/>
  <c r="V82" i="1"/>
  <c r="Q83" i="1" s="1"/>
  <c r="W83" i="1" s="1"/>
  <c r="R82" i="1"/>
  <c r="AP25" i="1" l="1"/>
  <c r="H25" i="1"/>
  <c r="F25" i="1"/>
  <c r="V83" i="1"/>
  <c r="Q84" i="1" s="1"/>
  <c r="W84" i="1" s="1"/>
  <c r="R83" i="1"/>
  <c r="M25" i="1" l="1"/>
  <c r="L25" i="1" s="1"/>
  <c r="J26" i="1" s="1"/>
  <c r="K26" i="1" s="1"/>
  <c r="AQ26" i="1" s="1"/>
  <c r="I25" i="1"/>
  <c r="G25" i="1"/>
  <c r="V84" i="1"/>
  <c r="Q85" i="1" s="1"/>
  <c r="W85" i="1" s="1"/>
  <c r="R84" i="1"/>
  <c r="AO25" i="1" l="1"/>
  <c r="B26" i="1"/>
  <c r="V85" i="1"/>
  <c r="Q86" i="1" s="1"/>
  <c r="W86" i="1" s="1"/>
  <c r="R85" i="1"/>
  <c r="AF26" i="1" l="1"/>
  <c r="AG26" i="1"/>
  <c r="AH26" i="1" s="1"/>
  <c r="C26" i="1"/>
  <c r="V86" i="1"/>
  <c r="Q87" i="1" s="1"/>
  <c r="W87" i="1" s="1"/>
  <c r="R86" i="1"/>
  <c r="AK26" i="1" l="1"/>
  <c r="AL26" i="1" s="1"/>
  <c r="AI26" i="1"/>
  <c r="AJ26" i="1" s="1"/>
  <c r="AM26" i="1"/>
  <c r="AN26" i="1" s="1"/>
  <c r="S26" i="1"/>
  <c r="T26" i="1" s="1"/>
  <c r="U26" i="1" s="1"/>
  <c r="D26" i="1"/>
  <c r="E26" i="1" s="1"/>
  <c r="V87" i="1"/>
  <c r="Q88" i="1" s="1"/>
  <c r="W88" i="1" s="1"/>
  <c r="R87" i="1"/>
  <c r="AP26" i="1" l="1"/>
  <c r="H26" i="1"/>
  <c r="F26" i="1"/>
  <c r="V88" i="1"/>
  <c r="Q89" i="1" s="1"/>
  <c r="W89" i="1" s="1"/>
  <c r="R88" i="1"/>
  <c r="M26" i="1" l="1"/>
  <c r="L26" i="1" s="1"/>
  <c r="J27" i="1" s="1"/>
  <c r="K27" i="1" s="1"/>
  <c r="AQ27" i="1" s="1"/>
  <c r="I26" i="1"/>
  <c r="G26" i="1"/>
  <c r="V89" i="1"/>
  <c r="Q90" i="1" s="1"/>
  <c r="W90" i="1" s="1"/>
  <c r="R89" i="1"/>
  <c r="AO26" i="1" l="1"/>
  <c r="B27" i="1"/>
  <c r="V90" i="1"/>
  <c r="Q91" i="1" s="1"/>
  <c r="W91" i="1" s="1"/>
  <c r="R90" i="1"/>
  <c r="AG27" i="1" l="1"/>
  <c r="AH27" i="1" s="1"/>
  <c r="AF27" i="1"/>
  <c r="C27" i="1"/>
  <c r="V91" i="1"/>
  <c r="Q92" i="1" s="1"/>
  <c r="W92" i="1" s="1"/>
  <c r="R91" i="1"/>
  <c r="S27" i="1" l="1"/>
  <c r="T27" i="1" s="1"/>
  <c r="U27" i="1" s="1"/>
  <c r="D27" i="1"/>
  <c r="E27" i="1" s="1"/>
  <c r="AI27" i="1"/>
  <c r="AJ27" i="1" s="1"/>
  <c r="AM27" i="1"/>
  <c r="AN27" i="1" s="1"/>
  <c r="AK27" i="1"/>
  <c r="AL27" i="1" s="1"/>
  <c r="V92" i="1"/>
  <c r="Q93" i="1" s="1"/>
  <c r="W93" i="1" s="1"/>
  <c r="R92" i="1"/>
  <c r="AP27" i="1" l="1"/>
  <c r="H27" i="1"/>
  <c r="F27" i="1"/>
  <c r="V93" i="1"/>
  <c r="Q94" i="1" s="1"/>
  <c r="W94" i="1" s="1"/>
  <c r="R93" i="1"/>
  <c r="M27" i="1" l="1"/>
  <c r="L27" i="1" s="1"/>
  <c r="J28" i="1" s="1"/>
  <c r="K28" i="1" s="1"/>
  <c r="AQ28" i="1" s="1"/>
  <c r="I27" i="1"/>
  <c r="G27" i="1"/>
  <c r="V94" i="1"/>
  <c r="Q95" i="1" s="1"/>
  <c r="W95" i="1" s="1"/>
  <c r="R94" i="1"/>
  <c r="AO27" i="1" l="1"/>
  <c r="B28" i="1"/>
  <c r="V95" i="1"/>
  <c r="Q96" i="1" s="1"/>
  <c r="W96" i="1" s="1"/>
  <c r="R95" i="1"/>
  <c r="C28" i="1" l="1"/>
  <c r="AF28" i="1"/>
  <c r="AG28" i="1"/>
  <c r="AH28" i="1" s="1"/>
  <c r="V96" i="1"/>
  <c r="Q97" i="1" s="1"/>
  <c r="W97" i="1" s="1"/>
  <c r="R96" i="1"/>
  <c r="AM28" i="1" l="1"/>
  <c r="AN28" i="1" s="1"/>
  <c r="AK28" i="1"/>
  <c r="AL28" i="1" s="1"/>
  <c r="AI28" i="1"/>
  <c r="AJ28" i="1" s="1"/>
  <c r="S28" i="1"/>
  <c r="T28" i="1" s="1"/>
  <c r="U28" i="1" s="1"/>
  <c r="D28" i="1"/>
  <c r="E28" i="1" s="1"/>
  <c r="V97" i="1"/>
  <c r="Q98" i="1" s="1"/>
  <c r="W98" i="1" s="1"/>
  <c r="R97" i="1"/>
  <c r="AP28" i="1" l="1"/>
  <c r="H28" i="1"/>
  <c r="F28" i="1"/>
  <c r="V98" i="1"/>
  <c r="Q99" i="1" s="1"/>
  <c r="W99" i="1" s="1"/>
  <c r="R98" i="1"/>
  <c r="M28" i="1" l="1"/>
  <c r="L28" i="1" s="1"/>
  <c r="J29" i="1" s="1"/>
  <c r="K29" i="1" s="1"/>
  <c r="AQ29" i="1" s="1"/>
  <c r="I28" i="1"/>
  <c r="G28" i="1"/>
  <c r="V99" i="1"/>
  <c r="Q100" i="1" s="1"/>
  <c r="W100" i="1" s="1"/>
  <c r="R99" i="1"/>
  <c r="AO28" i="1" l="1"/>
  <c r="B29" i="1"/>
  <c r="V100" i="1"/>
  <c r="Q101" i="1" s="1"/>
  <c r="W101" i="1" s="1"/>
  <c r="R100" i="1"/>
  <c r="AF29" i="1" l="1"/>
  <c r="AG29" i="1"/>
  <c r="AH29" i="1" s="1"/>
  <c r="C29" i="1"/>
  <c r="V101" i="1"/>
  <c r="Q102" i="1" s="1"/>
  <c r="W102" i="1" s="1"/>
  <c r="R101" i="1"/>
  <c r="AI29" i="1" l="1"/>
  <c r="AJ29" i="1" s="1"/>
  <c r="AK29" i="1"/>
  <c r="AL29" i="1" s="1"/>
  <c r="AM29" i="1"/>
  <c r="AN29" i="1" s="1"/>
  <c r="D29" i="1"/>
  <c r="E29" i="1" s="1"/>
  <c r="S29" i="1"/>
  <c r="T29" i="1" s="1"/>
  <c r="U29" i="1" s="1"/>
  <c r="V102" i="1"/>
  <c r="Q103" i="1" s="1"/>
  <c r="W103" i="1" s="1"/>
  <c r="R102" i="1"/>
  <c r="AP29" i="1" l="1"/>
  <c r="H29" i="1"/>
  <c r="F29" i="1"/>
  <c r="V103" i="1"/>
  <c r="Q104" i="1" s="1"/>
  <c r="W104" i="1" s="1"/>
  <c r="R103" i="1"/>
  <c r="M29" i="1" l="1"/>
  <c r="L29" i="1" s="1"/>
  <c r="J30" i="1" s="1"/>
  <c r="K30" i="1" s="1"/>
  <c r="AQ30" i="1" s="1"/>
  <c r="G29" i="1"/>
  <c r="I29" i="1"/>
  <c r="V104" i="1"/>
  <c r="Q105" i="1" s="1"/>
  <c r="W105" i="1" s="1"/>
  <c r="R104" i="1"/>
  <c r="AO29" i="1" l="1"/>
  <c r="B30" i="1"/>
  <c r="V105" i="1"/>
  <c r="Q106" i="1" s="1"/>
  <c r="W106" i="1" s="1"/>
  <c r="R105" i="1"/>
  <c r="AF30" i="1" l="1"/>
  <c r="C30" i="1"/>
  <c r="AG30" i="1"/>
  <c r="AH30" i="1" s="1"/>
  <c r="V106" i="1"/>
  <c r="Q107" i="1" s="1"/>
  <c r="W107" i="1" s="1"/>
  <c r="R106" i="1"/>
  <c r="D30" i="1" l="1"/>
  <c r="E30" i="1" s="1"/>
  <c r="S30" i="1"/>
  <c r="T30" i="1" s="1"/>
  <c r="U30" i="1" s="1"/>
  <c r="AM30" i="1"/>
  <c r="AN30" i="1" s="1"/>
  <c r="AI30" i="1"/>
  <c r="AJ30" i="1" s="1"/>
  <c r="AK30" i="1"/>
  <c r="AL30" i="1" s="1"/>
  <c r="V107" i="1"/>
  <c r="Q108" i="1" s="1"/>
  <c r="W108" i="1" s="1"/>
  <c r="R107" i="1"/>
  <c r="AP30" i="1" l="1"/>
  <c r="H30" i="1"/>
  <c r="F30" i="1"/>
  <c r="V108" i="1"/>
  <c r="Q109" i="1" s="1"/>
  <c r="W109" i="1" s="1"/>
  <c r="R108" i="1"/>
  <c r="M30" i="1" l="1"/>
  <c r="L30" i="1" s="1"/>
  <c r="J31" i="1" s="1"/>
  <c r="K31" i="1" s="1"/>
  <c r="AQ31" i="1" s="1"/>
  <c r="G30" i="1"/>
  <c r="I30" i="1"/>
  <c r="V109" i="1"/>
  <c r="Q110" i="1" s="1"/>
  <c r="W110" i="1" s="1"/>
  <c r="R109" i="1"/>
  <c r="AO30" i="1" l="1"/>
  <c r="B31" i="1"/>
  <c r="V110" i="1"/>
  <c r="Q111" i="1" s="1"/>
  <c r="W111" i="1" s="1"/>
  <c r="R110" i="1"/>
  <c r="AF31" i="1" l="1"/>
  <c r="AG31" i="1"/>
  <c r="AH31" i="1" s="1"/>
  <c r="C31" i="1"/>
  <c r="V111" i="1"/>
  <c r="Q112" i="1" s="1"/>
  <c r="W112" i="1" s="1"/>
  <c r="R111" i="1"/>
  <c r="AI31" i="1" l="1"/>
  <c r="AJ31" i="1" s="1"/>
  <c r="AM31" i="1"/>
  <c r="AN31" i="1" s="1"/>
  <c r="AK31" i="1"/>
  <c r="AL31" i="1" s="1"/>
  <c r="D31" i="1"/>
  <c r="E31" i="1" s="1"/>
  <c r="S31" i="1"/>
  <c r="T31" i="1" s="1"/>
  <c r="U31" i="1" s="1"/>
  <c r="V112" i="1"/>
  <c r="Q113" i="1" s="1"/>
  <c r="W113" i="1" s="1"/>
  <c r="R112" i="1"/>
  <c r="AP31" i="1" l="1"/>
  <c r="H31" i="1"/>
  <c r="F31" i="1"/>
  <c r="V113" i="1"/>
  <c r="Q114" i="1" s="1"/>
  <c r="W114" i="1" s="1"/>
  <c r="R113" i="1"/>
  <c r="M31" i="1" l="1"/>
  <c r="L31" i="1" s="1"/>
  <c r="J32" i="1" s="1"/>
  <c r="K32" i="1" s="1"/>
  <c r="AQ32" i="1" s="1"/>
  <c r="I31" i="1"/>
  <c r="G31" i="1"/>
  <c r="V114" i="1"/>
  <c r="Q115" i="1" s="1"/>
  <c r="W115" i="1" s="1"/>
  <c r="R114" i="1"/>
  <c r="AO31" i="1" l="1"/>
  <c r="B32" i="1"/>
  <c r="V115" i="1"/>
  <c r="Q116" i="1" s="1"/>
  <c r="W116" i="1" s="1"/>
  <c r="R115" i="1"/>
  <c r="AF32" i="1" l="1"/>
  <c r="C32" i="1"/>
  <c r="AG32" i="1"/>
  <c r="AH32" i="1" s="1"/>
  <c r="V116" i="1"/>
  <c r="Q117" i="1" s="1"/>
  <c r="W117" i="1" s="1"/>
  <c r="R116" i="1"/>
  <c r="S32" i="1" l="1"/>
  <c r="T32" i="1" s="1"/>
  <c r="U32" i="1" s="1"/>
  <c r="D32" i="1"/>
  <c r="E32" i="1" s="1"/>
  <c r="AI32" i="1"/>
  <c r="AJ32" i="1" s="1"/>
  <c r="AK32" i="1"/>
  <c r="AL32" i="1" s="1"/>
  <c r="AM32" i="1"/>
  <c r="AN32" i="1" s="1"/>
  <c r="V117" i="1"/>
  <c r="Q118" i="1" s="1"/>
  <c r="W118" i="1" s="1"/>
  <c r="R117" i="1"/>
  <c r="AP32" i="1" l="1"/>
  <c r="H32" i="1"/>
  <c r="F32" i="1"/>
  <c r="V118" i="1"/>
  <c r="Q119" i="1" s="1"/>
  <c r="W119" i="1" s="1"/>
  <c r="R118" i="1"/>
  <c r="M32" i="1" l="1"/>
  <c r="L32" i="1" s="1"/>
  <c r="J33" i="1" s="1"/>
  <c r="K33" i="1" s="1"/>
  <c r="AQ33" i="1" s="1"/>
  <c r="G32" i="1"/>
  <c r="I32" i="1"/>
  <c r="V119" i="1"/>
  <c r="Q120" i="1" s="1"/>
  <c r="W120" i="1" s="1"/>
  <c r="R119" i="1"/>
  <c r="AO32" i="1" l="1"/>
  <c r="B33" i="1"/>
  <c r="V120" i="1"/>
  <c r="Q121" i="1" s="1"/>
  <c r="W121" i="1" s="1"/>
  <c r="R120" i="1"/>
  <c r="AF33" i="1" l="1"/>
  <c r="AG33" i="1"/>
  <c r="AH33" i="1" s="1"/>
  <c r="C33" i="1"/>
  <c r="V121" i="1"/>
  <c r="Q122" i="1" s="1"/>
  <c r="W122" i="1" s="1"/>
  <c r="R121" i="1"/>
  <c r="AM33" i="1" l="1"/>
  <c r="AN33" i="1" s="1"/>
  <c r="AI33" i="1"/>
  <c r="AJ33" i="1" s="1"/>
  <c r="AK33" i="1"/>
  <c r="AL33" i="1" s="1"/>
  <c r="D33" i="1"/>
  <c r="E33" i="1" s="1"/>
  <c r="S33" i="1"/>
  <c r="T33" i="1" s="1"/>
  <c r="U33" i="1" s="1"/>
  <c r="V122" i="1"/>
  <c r="Q123" i="1" s="1"/>
  <c r="W123" i="1" s="1"/>
  <c r="R122" i="1"/>
  <c r="AP33" i="1" l="1"/>
  <c r="H33" i="1"/>
  <c r="F33" i="1"/>
  <c r="V123" i="1"/>
  <c r="Q124" i="1" s="1"/>
  <c r="W124" i="1" s="1"/>
  <c r="R123" i="1"/>
  <c r="M33" i="1" l="1"/>
  <c r="L33" i="1" s="1"/>
  <c r="J34" i="1" s="1"/>
  <c r="K34" i="1" s="1"/>
  <c r="AQ34" i="1" s="1"/>
  <c r="I33" i="1"/>
  <c r="G33" i="1"/>
  <c r="V124" i="1"/>
  <c r="Q125" i="1" s="1"/>
  <c r="W125" i="1" s="1"/>
  <c r="R124" i="1"/>
  <c r="AO33" i="1" l="1"/>
  <c r="B34" i="1"/>
  <c r="V125" i="1"/>
  <c r="Q126" i="1" s="1"/>
  <c r="W126" i="1" s="1"/>
  <c r="R125" i="1"/>
  <c r="AF34" i="1" l="1"/>
  <c r="C34" i="1"/>
  <c r="AG34" i="1"/>
  <c r="AH34" i="1" s="1"/>
  <c r="V126" i="1"/>
  <c r="Q127" i="1" s="1"/>
  <c r="W127" i="1" s="1"/>
  <c r="R126" i="1"/>
  <c r="AK34" i="1" l="1"/>
  <c r="AL34" i="1" s="1"/>
  <c r="AM34" i="1"/>
  <c r="AN34" i="1" s="1"/>
  <c r="AI34" i="1"/>
  <c r="AJ34" i="1" s="1"/>
  <c r="D34" i="1"/>
  <c r="E34" i="1" s="1"/>
  <c r="S34" i="1"/>
  <c r="T34" i="1" s="1"/>
  <c r="U34" i="1" s="1"/>
  <c r="V127" i="1"/>
  <c r="Q128" i="1" s="1"/>
  <c r="W128" i="1" s="1"/>
  <c r="R127" i="1"/>
  <c r="AP34" i="1" l="1"/>
  <c r="H34" i="1"/>
  <c r="F34" i="1"/>
  <c r="V128" i="1"/>
  <c r="Q129" i="1" s="1"/>
  <c r="W129" i="1" s="1"/>
  <c r="R128" i="1"/>
  <c r="M34" i="1" l="1"/>
  <c r="L34" i="1" s="1"/>
  <c r="J35" i="1" s="1"/>
  <c r="K35" i="1" s="1"/>
  <c r="AQ35" i="1" s="1"/>
  <c r="I34" i="1"/>
  <c r="G34" i="1"/>
  <c r="V129" i="1"/>
  <c r="Q130" i="1" s="1"/>
  <c r="W130" i="1" s="1"/>
  <c r="R129" i="1"/>
  <c r="AO34" i="1" l="1"/>
  <c r="B35" i="1"/>
  <c r="V130" i="1"/>
  <c r="Q131" i="1" s="1"/>
  <c r="W131" i="1" s="1"/>
  <c r="R130" i="1"/>
  <c r="AF35" i="1" l="1"/>
  <c r="AG35" i="1"/>
  <c r="AH35" i="1" s="1"/>
  <c r="C35" i="1"/>
  <c r="V131" i="1"/>
  <c r="Q132" i="1" s="1"/>
  <c r="W132" i="1" s="1"/>
  <c r="R131" i="1"/>
  <c r="AK35" i="1" l="1"/>
  <c r="AL35" i="1" s="1"/>
  <c r="AI35" i="1"/>
  <c r="AJ35" i="1" s="1"/>
  <c r="AM35" i="1"/>
  <c r="AN35" i="1" s="1"/>
  <c r="D35" i="1"/>
  <c r="E35" i="1" s="1"/>
  <c r="S35" i="1"/>
  <c r="T35" i="1" s="1"/>
  <c r="U35" i="1" s="1"/>
  <c r="V132" i="1"/>
  <c r="Q133" i="1" s="1"/>
  <c r="W133" i="1" s="1"/>
  <c r="R132" i="1"/>
  <c r="AP35" i="1" l="1"/>
  <c r="H35" i="1"/>
  <c r="F35" i="1"/>
  <c r="V133" i="1"/>
  <c r="Q134" i="1" s="1"/>
  <c r="W134" i="1" s="1"/>
  <c r="R133" i="1"/>
  <c r="M35" i="1" l="1"/>
  <c r="L35" i="1" s="1"/>
  <c r="J36" i="1" s="1"/>
  <c r="K36" i="1" s="1"/>
  <c r="AQ36" i="1" s="1"/>
  <c r="G35" i="1"/>
  <c r="I35" i="1"/>
  <c r="V134" i="1"/>
  <c r="Q135" i="1" s="1"/>
  <c r="W135" i="1" s="1"/>
  <c r="R134" i="1"/>
  <c r="AO35" i="1" l="1"/>
  <c r="B36" i="1"/>
  <c r="V135" i="1"/>
  <c r="Q136" i="1" s="1"/>
  <c r="W136" i="1" s="1"/>
  <c r="R135" i="1"/>
  <c r="AF36" i="1" l="1"/>
  <c r="C36" i="1"/>
  <c r="AG36" i="1"/>
  <c r="AH36" i="1" s="1"/>
  <c r="V136" i="1"/>
  <c r="Q137" i="1" s="1"/>
  <c r="W137" i="1" s="1"/>
  <c r="R136" i="1"/>
  <c r="S36" i="1" l="1"/>
  <c r="T36" i="1" s="1"/>
  <c r="U36" i="1" s="1"/>
  <c r="D36" i="1"/>
  <c r="E36" i="1" s="1"/>
  <c r="AK36" i="1"/>
  <c r="AL36" i="1" s="1"/>
  <c r="AI36" i="1"/>
  <c r="AJ36" i="1" s="1"/>
  <c r="AM36" i="1"/>
  <c r="AN36" i="1" s="1"/>
  <c r="V137" i="1"/>
  <c r="Q138" i="1" s="1"/>
  <c r="W138" i="1" s="1"/>
  <c r="R137" i="1"/>
  <c r="AP36" i="1" l="1"/>
  <c r="H36" i="1"/>
  <c r="F36" i="1"/>
  <c r="V138" i="1"/>
  <c r="Q139" i="1" s="1"/>
  <c r="W139" i="1" s="1"/>
  <c r="R138" i="1"/>
  <c r="M36" i="1" l="1"/>
  <c r="L36" i="1" s="1"/>
  <c r="J37" i="1" s="1"/>
  <c r="K37" i="1" s="1"/>
  <c r="AQ37" i="1" s="1"/>
  <c r="I36" i="1"/>
  <c r="G36" i="1"/>
  <c r="V139" i="1"/>
  <c r="Q140" i="1" s="1"/>
  <c r="W140" i="1" s="1"/>
  <c r="R139" i="1"/>
  <c r="AO36" i="1" l="1"/>
  <c r="B37" i="1"/>
  <c r="V140" i="1"/>
  <c r="Q141" i="1" s="1"/>
  <c r="W141" i="1" s="1"/>
  <c r="R140" i="1"/>
  <c r="AF37" i="1" l="1"/>
  <c r="C37" i="1"/>
  <c r="AG37" i="1"/>
  <c r="AH37" i="1" s="1"/>
  <c r="V141" i="1"/>
  <c r="Q142" i="1" s="1"/>
  <c r="W142" i="1" s="1"/>
  <c r="R141" i="1"/>
  <c r="AI37" i="1" l="1"/>
  <c r="AJ37" i="1" s="1"/>
  <c r="AM37" i="1"/>
  <c r="AN37" i="1" s="1"/>
  <c r="AK37" i="1"/>
  <c r="AL37" i="1" s="1"/>
  <c r="S37" i="1"/>
  <c r="T37" i="1" s="1"/>
  <c r="U37" i="1" s="1"/>
  <c r="D37" i="1"/>
  <c r="E37" i="1" s="1"/>
  <c r="V142" i="1"/>
  <c r="Q143" i="1" s="1"/>
  <c r="W143" i="1" s="1"/>
  <c r="R142" i="1"/>
  <c r="H37" i="1" l="1"/>
  <c r="F37" i="1"/>
  <c r="AP37" i="1"/>
  <c r="V143" i="1"/>
  <c r="Q144" i="1" s="1"/>
  <c r="W144" i="1" s="1"/>
  <c r="R143" i="1"/>
  <c r="M37" i="1" l="1"/>
  <c r="L37" i="1" s="1"/>
  <c r="J38" i="1" s="1"/>
  <c r="K38" i="1" s="1"/>
  <c r="AQ38" i="1" s="1"/>
  <c r="G37" i="1"/>
  <c r="I37" i="1"/>
  <c r="V144" i="1"/>
  <c r="Q145" i="1" s="1"/>
  <c r="W145" i="1" s="1"/>
  <c r="R144" i="1"/>
  <c r="AO37" i="1" l="1"/>
  <c r="B38" i="1"/>
  <c r="V145" i="1"/>
  <c r="Q146" i="1" s="1"/>
  <c r="W146" i="1" s="1"/>
  <c r="R145" i="1"/>
  <c r="AG38" i="1" l="1"/>
  <c r="AH38" i="1" s="1"/>
  <c r="AF38" i="1"/>
  <c r="C38" i="1"/>
  <c r="V146" i="1"/>
  <c r="Q147" i="1" s="1"/>
  <c r="W147" i="1" s="1"/>
  <c r="R146" i="1"/>
  <c r="D38" i="1" l="1"/>
  <c r="E38" i="1" s="1"/>
  <c r="S38" i="1"/>
  <c r="T38" i="1" s="1"/>
  <c r="U38" i="1" s="1"/>
  <c r="AM38" i="1"/>
  <c r="AN38" i="1" s="1"/>
  <c r="AK38" i="1"/>
  <c r="AL38" i="1" s="1"/>
  <c r="AI38" i="1"/>
  <c r="AJ38" i="1" s="1"/>
  <c r="V147" i="1"/>
  <c r="Q148" i="1" s="1"/>
  <c r="W148" i="1" s="1"/>
  <c r="R147" i="1"/>
  <c r="AP38" i="1" l="1"/>
  <c r="H38" i="1"/>
  <c r="F38" i="1"/>
  <c r="V148" i="1"/>
  <c r="Q149" i="1" s="1"/>
  <c r="W149" i="1" s="1"/>
  <c r="R148" i="1"/>
  <c r="M38" i="1" l="1"/>
  <c r="L38" i="1" s="1"/>
  <c r="J39" i="1" s="1"/>
  <c r="K39" i="1" s="1"/>
  <c r="AQ39" i="1" s="1"/>
  <c r="I38" i="1"/>
  <c r="G38" i="1"/>
  <c r="V149" i="1"/>
  <c r="Q150" i="1" s="1"/>
  <c r="W150" i="1" s="1"/>
  <c r="R149" i="1"/>
  <c r="AO38" i="1" l="1"/>
  <c r="B39" i="1"/>
  <c r="V150" i="1"/>
  <c r="Q151" i="1" s="1"/>
  <c r="W151" i="1" s="1"/>
  <c r="R150" i="1"/>
  <c r="AG39" i="1" l="1"/>
  <c r="AH39" i="1" s="1"/>
  <c r="AF39" i="1"/>
  <c r="C39" i="1"/>
  <c r="V151" i="1"/>
  <c r="Q152" i="1" s="1"/>
  <c r="W152" i="1" s="1"/>
  <c r="R151" i="1"/>
  <c r="S39" i="1" l="1"/>
  <c r="T39" i="1" s="1"/>
  <c r="U39" i="1" s="1"/>
  <c r="D39" i="1"/>
  <c r="E39" i="1" s="1"/>
  <c r="AK39" i="1"/>
  <c r="AL39" i="1" s="1"/>
  <c r="AM39" i="1"/>
  <c r="AN39" i="1" s="1"/>
  <c r="AI39" i="1"/>
  <c r="AJ39" i="1" s="1"/>
  <c r="V152" i="1"/>
  <c r="Q153" i="1" s="1"/>
  <c r="W153" i="1" s="1"/>
  <c r="R152" i="1"/>
  <c r="AP39" i="1" l="1"/>
  <c r="H39" i="1"/>
  <c r="F39" i="1"/>
  <c r="V153" i="1"/>
  <c r="Q154" i="1" s="1"/>
  <c r="W154" i="1" s="1"/>
  <c r="R153" i="1"/>
  <c r="M39" i="1" l="1"/>
  <c r="L39" i="1" s="1"/>
  <c r="J40" i="1" s="1"/>
  <c r="K40" i="1" s="1"/>
  <c r="AQ40" i="1" s="1"/>
  <c r="I39" i="1"/>
  <c r="G39" i="1"/>
  <c r="V154" i="1"/>
  <c r="Q155" i="1" s="1"/>
  <c r="W155" i="1" s="1"/>
  <c r="R154" i="1"/>
  <c r="AO39" i="1" l="1"/>
  <c r="B40" i="1"/>
  <c r="V155" i="1"/>
  <c r="Q156" i="1" s="1"/>
  <c r="W156" i="1" s="1"/>
  <c r="R155" i="1"/>
  <c r="C40" i="1" l="1"/>
  <c r="AG40" i="1"/>
  <c r="AH40" i="1" s="1"/>
  <c r="AF40" i="1"/>
  <c r="V156" i="1"/>
  <c r="Q157" i="1" s="1"/>
  <c r="W157" i="1" s="1"/>
  <c r="R156" i="1"/>
  <c r="AM40" i="1" l="1"/>
  <c r="AN40" i="1" s="1"/>
  <c r="AK40" i="1"/>
  <c r="AL40" i="1" s="1"/>
  <c r="AI40" i="1"/>
  <c r="AJ40" i="1" s="1"/>
  <c r="S40" i="1"/>
  <c r="T40" i="1" s="1"/>
  <c r="U40" i="1" s="1"/>
  <c r="D40" i="1"/>
  <c r="E40" i="1" s="1"/>
  <c r="V157" i="1"/>
  <c r="Q158" i="1" s="1"/>
  <c r="W158" i="1" s="1"/>
  <c r="R157" i="1"/>
  <c r="H40" i="1" l="1"/>
  <c r="F40" i="1"/>
  <c r="AP40" i="1"/>
  <c r="V158" i="1"/>
  <c r="Q159" i="1" s="1"/>
  <c r="W159" i="1" s="1"/>
  <c r="R158" i="1"/>
  <c r="M40" i="1" l="1"/>
  <c r="L40" i="1" s="1"/>
  <c r="J41" i="1" s="1"/>
  <c r="K41" i="1" s="1"/>
  <c r="AQ41" i="1" s="1"/>
  <c r="I40" i="1"/>
  <c r="G40" i="1"/>
  <c r="V159" i="1"/>
  <c r="Q160" i="1" s="1"/>
  <c r="W160" i="1" s="1"/>
  <c r="R159" i="1"/>
  <c r="AO40" i="1" l="1"/>
  <c r="B41" i="1"/>
  <c r="V160" i="1"/>
  <c r="Q161" i="1" s="1"/>
  <c r="W161" i="1" s="1"/>
  <c r="R160" i="1"/>
  <c r="AF41" i="1" l="1"/>
  <c r="C41" i="1"/>
  <c r="AG41" i="1"/>
  <c r="AH41" i="1" s="1"/>
  <c r="V161" i="1"/>
  <c r="Q162" i="1" s="1"/>
  <c r="W162" i="1" s="1"/>
  <c r="R161" i="1"/>
  <c r="AM41" i="1" l="1"/>
  <c r="AN41" i="1" s="1"/>
  <c r="AK41" i="1"/>
  <c r="AL41" i="1" s="1"/>
  <c r="AI41" i="1"/>
  <c r="AJ41" i="1" s="1"/>
  <c r="S41" i="1"/>
  <c r="T41" i="1" s="1"/>
  <c r="U41" i="1" s="1"/>
  <c r="D41" i="1"/>
  <c r="E41" i="1" s="1"/>
  <c r="V162" i="1"/>
  <c r="Q163" i="1" s="1"/>
  <c r="W163" i="1" s="1"/>
  <c r="R162" i="1"/>
  <c r="AP41" i="1" l="1"/>
  <c r="H41" i="1"/>
  <c r="F41" i="1"/>
  <c r="V163" i="1"/>
  <c r="Q164" i="1" s="1"/>
  <c r="W164" i="1" s="1"/>
  <c r="R163" i="1"/>
  <c r="M41" i="1" l="1"/>
  <c r="L41" i="1" s="1"/>
  <c r="J42" i="1" s="1"/>
  <c r="K42" i="1" s="1"/>
  <c r="AQ42" i="1" s="1"/>
  <c r="I41" i="1"/>
  <c r="G41" i="1"/>
  <c r="V164" i="1"/>
  <c r="Q165" i="1" s="1"/>
  <c r="W165" i="1" s="1"/>
  <c r="R164" i="1"/>
  <c r="AO41" i="1" l="1"/>
  <c r="B42" i="1"/>
  <c r="V165" i="1"/>
  <c r="Q166" i="1" s="1"/>
  <c r="W166" i="1" s="1"/>
  <c r="R165" i="1"/>
  <c r="AF42" i="1" l="1"/>
  <c r="C42" i="1"/>
  <c r="AG42" i="1"/>
  <c r="AH42" i="1" s="1"/>
  <c r="V166" i="1"/>
  <c r="Q167" i="1" s="1"/>
  <c r="W167" i="1" s="1"/>
  <c r="R166" i="1"/>
  <c r="AM42" i="1" l="1"/>
  <c r="AN42" i="1" s="1"/>
  <c r="AI42" i="1"/>
  <c r="AJ42" i="1" s="1"/>
  <c r="AK42" i="1"/>
  <c r="AL42" i="1" s="1"/>
  <c r="S42" i="1"/>
  <c r="T42" i="1" s="1"/>
  <c r="U42" i="1" s="1"/>
  <c r="D42" i="1"/>
  <c r="E42" i="1" s="1"/>
  <c r="V167" i="1"/>
  <c r="Q168" i="1" s="1"/>
  <c r="W168" i="1" s="1"/>
  <c r="R167" i="1"/>
  <c r="AP42" i="1" l="1"/>
  <c r="H42" i="1"/>
  <c r="F42" i="1"/>
  <c r="V168" i="1"/>
  <c r="Q169" i="1" s="1"/>
  <c r="W169" i="1" s="1"/>
  <c r="R168" i="1"/>
  <c r="M42" i="1" l="1"/>
  <c r="L42" i="1" s="1"/>
  <c r="J43" i="1" s="1"/>
  <c r="K43" i="1" s="1"/>
  <c r="AQ43" i="1" s="1"/>
  <c r="I42" i="1"/>
  <c r="G42" i="1"/>
  <c r="V169" i="1"/>
  <c r="Q170" i="1" s="1"/>
  <c r="W170" i="1" s="1"/>
  <c r="R169" i="1"/>
  <c r="AO42" i="1" l="1"/>
  <c r="B43" i="1"/>
  <c r="V170" i="1"/>
  <c r="Q171" i="1" s="1"/>
  <c r="W171" i="1" s="1"/>
  <c r="R170" i="1"/>
  <c r="AF43" i="1" l="1"/>
  <c r="C43" i="1"/>
  <c r="AG43" i="1"/>
  <c r="AH43" i="1" s="1"/>
  <c r="V171" i="1"/>
  <c r="Q172" i="1" s="1"/>
  <c r="W172" i="1" s="1"/>
  <c r="R171" i="1"/>
  <c r="AM43" i="1" l="1"/>
  <c r="AN43" i="1" s="1"/>
  <c r="AK43" i="1"/>
  <c r="AL43" i="1" s="1"/>
  <c r="AI43" i="1"/>
  <c r="AJ43" i="1" s="1"/>
  <c r="D43" i="1"/>
  <c r="E43" i="1" s="1"/>
  <c r="S43" i="1"/>
  <c r="T43" i="1" s="1"/>
  <c r="U43" i="1" s="1"/>
  <c r="V172" i="1"/>
  <c r="Q173" i="1" s="1"/>
  <c r="W173" i="1" s="1"/>
  <c r="R172" i="1"/>
  <c r="AP43" i="1" l="1"/>
  <c r="H43" i="1"/>
  <c r="F43" i="1"/>
  <c r="V173" i="1"/>
  <c r="Q174" i="1" s="1"/>
  <c r="W174" i="1" s="1"/>
  <c r="R173" i="1"/>
  <c r="M43" i="1" l="1"/>
  <c r="L43" i="1" s="1"/>
  <c r="J44" i="1" s="1"/>
  <c r="K44" i="1" s="1"/>
  <c r="AQ44" i="1" s="1"/>
  <c r="G43" i="1"/>
  <c r="I43" i="1"/>
  <c r="V174" i="1"/>
  <c r="Q175" i="1" s="1"/>
  <c r="W175" i="1" s="1"/>
  <c r="R174" i="1"/>
  <c r="AO43" i="1" l="1"/>
  <c r="B44" i="1"/>
  <c r="V175" i="1"/>
  <c r="Q176" i="1" s="1"/>
  <c r="W176" i="1" s="1"/>
  <c r="R175" i="1"/>
  <c r="C44" i="1" l="1"/>
  <c r="AG44" i="1"/>
  <c r="AH44" i="1" s="1"/>
  <c r="AF44" i="1"/>
  <c r="V176" i="1"/>
  <c r="Q177" i="1" s="1"/>
  <c r="W177" i="1" s="1"/>
  <c r="R176" i="1"/>
  <c r="AK44" i="1" l="1"/>
  <c r="AL44" i="1" s="1"/>
  <c r="AM44" i="1"/>
  <c r="AN44" i="1" s="1"/>
  <c r="AI44" i="1"/>
  <c r="AJ44" i="1" s="1"/>
  <c r="S44" i="1"/>
  <c r="T44" i="1" s="1"/>
  <c r="U44" i="1" s="1"/>
  <c r="D44" i="1"/>
  <c r="E44" i="1" s="1"/>
  <c r="V177" i="1"/>
  <c r="Q178" i="1" s="1"/>
  <c r="W178" i="1" s="1"/>
  <c r="R177" i="1"/>
  <c r="AP44" i="1" l="1"/>
  <c r="H44" i="1"/>
  <c r="F44" i="1"/>
  <c r="V178" i="1"/>
  <c r="Q179" i="1" s="1"/>
  <c r="W179" i="1" s="1"/>
  <c r="R178" i="1"/>
  <c r="M44" i="1" l="1"/>
  <c r="L44" i="1" s="1"/>
  <c r="J45" i="1" s="1"/>
  <c r="K45" i="1" s="1"/>
  <c r="AQ45" i="1" s="1"/>
  <c r="I44" i="1"/>
  <c r="G44" i="1"/>
  <c r="V179" i="1"/>
  <c r="Q180" i="1" s="1"/>
  <c r="W180" i="1" s="1"/>
  <c r="R179" i="1"/>
  <c r="AO44" i="1" l="1"/>
  <c r="B45" i="1"/>
  <c r="V180" i="1"/>
  <c r="Q181" i="1" s="1"/>
  <c r="W181" i="1" s="1"/>
  <c r="R180" i="1"/>
  <c r="AF45" i="1" l="1"/>
  <c r="AG45" i="1"/>
  <c r="AH45" i="1" s="1"/>
  <c r="C45" i="1"/>
  <c r="V181" i="1"/>
  <c r="Q182" i="1" s="1"/>
  <c r="W182" i="1" s="1"/>
  <c r="R181" i="1"/>
  <c r="D45" i="1" l="1"/>
  <c r="E45" i="1" s="1"/>
  <c r="S45" i="1"/>
  <c r="T45" i="1" s="1"/>
  <c r="U45" i="1" s="1"/>
  <c r="AM45" i="1"/>
  <c r="AN45" i="1" s="1"/>
  <c r="AI45" i="1"/>
  <c r="AJ45" i="1" s="1"/>
  <c r="AK45" i="1"/>
  <c r="AL45" i="1" s="1"/>
  <c r="V182" i="1"/>
  <c r="Q183" i="1" s="1"/>
  <c r="W183" i="1" s="1"/>
  <c r="R182" i="1"/>
  <c r="AP45" i="1" l="1"/>
  <c r="H45" i="1"/>
  <c r="F45" i="1"/>
  <c r="V183" i="1"/>
  <c r="Q184" i="1" s="1"/>
  <c r="W184" i="1" s="1"/>
  <c r="R183" i="1"/>
  <c r="M45" i="1" l="1"/>
  <c r="L45" i="1" s="1"/>
  <c r="J46" i="1" s="1"/>
  <c r="K46" i="1" s="1"/>
  <c r="AQ46" i="1" s="1"/>
  <c r="G45" i="1"/>
  <c r="I45" i="1"/>
  <c r="V184" i="1"/>
  <c r="Q185" i="1" s="1"/>
  <c r="W185" i="1" s="1"/>
  <c r="R184" i="1"/>
  <c r="AO45" i="1" l="1"/>
  <c r="B46" i="1"/>
  <c r="V185" i="1"/>
  <c r="Q186" i="1" s="1"/>
  <c r="W186" i="1" s="1"/>
  <c r="R185" i="1"/>
  <c r="AF46" i="1" l="1"/>
  <c r="C46" i="1"/>
  <c r="AG46" i="1"/>
  <c r="AH46" i="1" s="1"/>
  <c r="V186" i="1"/>
  <c r="Q187" i="1" s="1"/>
  <c r="W187" i="1" s="1"/>
  <c r="R186" i="1"/>
  <c r="AK46" i="1" l="1"/>
  <c r="AL46" i="1" s="1"/>
  <c r="AI46" i="1"/>
  <c r="AJ46" i="1" s="1"/>
  <c r="AM46" i="1"/>
  <c r="AN46" i="1" s="1"/>
  <c r="S46" i="1"/>
  <c r="T46" i="1" s="1"/>
  <c r="U46" i="1" s="1"/>
  <c r="D46" i="1"/>
  <c r="E46" i="1" s="1"/>
  <c r="V187" i="1"/>
  <c r="Q188" i="1" s="1"/>
  <c r="W188" i="1" s="1"/>
  <c r="R187" i="1"/>
  <c r="H46" i="1" l="1"/>
  <c r="F46" i="1"/>
  <c r="AP46" i="1"/>
  <c r="V188" i="1"/>
  <c r="Q189" i="1" s="1"/>
  <c r="W189" i="1" s="1"/>
  <c r="R188" i="1"/>
  <c r="M46" i="1" l="1"/>
  <c r="L46" i="1" s="1"/>
  <c r="J47" i="1" s="1"/>
  <c r="K47" i="1" s="1"/>
  <c r="AQ47" i="1" s="1"/>
  <c r="I46" i="1"/>
  <c r="G46" i="1"/>
  <c r="V189" i="1"/>
  <c r="Q190" i="1" s="1"/>
  <c r="W190" i="1" s="1"/>
  <c r="R189" i="1"/>
  <c r="AO46" i="1" l="1"/>
  <c r="B47" i="1"/>
  <c r="V190" i="1"/>
  <c r="Q191" i="1" s="1"/>
  <c r="W191" i="1" s="1"/>
  <c r="R190" i="1"/>
  <c r="AG47" i="1" l="1"/>
  <c r="AH47" i="1" s="1"/>
  <c r="C47" i="1"/>
  <c r="AF47" i="1"/>
  <c r="V191" i="1"/>
  <c r="Q192" i="1" s="1"/>
  <c r="W192" i="1" s="1"/>
  <c r="R191" i="1"/>
  <c r="D47" i="1" l="1"/>
  <c r="E47" i="1" s="1"/>
  <c r="S47" i="1"/>
  <c r="T47" i="1" s="1"/>
  <c r="U47" i="1" s="1"/>
  <c r="AI47" i="1"/>
  <c r="AJ47" i="1" s="1"/>
  <c r="AM47" i="1"/>
  <c r="AN47" i="1" s="1"/>
  <c r="AK47" i="1"/>
  <c r="AL47" i="1" s="1"/>
  <c r="V192" i="1"/>
  <c r="Q193" i="1" s="1"/>
  <c r="W193" i="1" s="1"/>
  <c r="R192" i="1"/>
  <c r="AP47" i="1" l="1"/>
  <c r="H47" i="1"/>
  <c r="F47" i="1"/>
  <c r="V193" i="1"/>
  <c r="Q194" i="1" s="1"/>
  <c r="W194" i="1" s="1"/>
  <c r="R193" i="1"/>
  <c r="M47" i="1" l="1"/>
  <c r="L47" i="1" s="1"/>
  <c r="J48" i="1" s="1"/>
  <c r="K48" i="1" s="1"/>
  <c r="AQ48" i="1" s="1"/>
  <c r="G47" i="1"/>
  <c r="I47" i="1"/>
  <c r="V194" i="1"/>
  <c r="Q195" i="1" s="1"/>
  <c r="W195" i="1" s="1"/>
  <c r="R194" i="1"/>
  <c r="AO47" i="1" l="1"/>
  <c r="B48" i="1"/>
  <c r="V195" i="1"/>
  <c r="Q196" i="1" s="1"/>
  <c r="W196" i="1" s="1"/>
  <c r="R195" i="1"/>
  <c r="AG48" i="1" l="1"/>
  <c r="AH48" i="1" s="1"/>
  <c r="AF48" i="1"/>
  <c r="C48" i="1"/>
  <c r="V196" i="1"/>
  <c r="Q197" i="1" s="1"/>
  <c r="W197" i="1" s="1"/>
  <c r="R196" i="1"/>
  <c r="S48" i="1" l="1"/>
  <c r="T48" i="1" s="1"/>
  <c r="U48" i="1" s="1"/>
  <c r="D48" i="1"/>
  <c r="E48" i="1" s="1"/>
  <c r="AK48" i="1"/>
  <c r="AL48" i="1" s="1"/>
  <c r="AM48" i="1"/>
  <c r="AN48" i="1" s="1"/>
  <c r="AI48" i="1"/>
  <c r="AJ48" i="1" s="1"/>
  <c r="V197" i="1"/>
  <c r="Q198" i="1" s="1"/>
  <c r="W198" i="1" s="1"/>
  <c r="R197" i="1"/>
  <c r="AP48" i="1" l="1"/>
  <c r="H48" i="1"/>
  <c r="F48" i="1"/>
  <c r="V198" i="1"/>
  <c r="Q199" i="1" s="1"/>
  <c r="W199" i="1" s="1"/>
  <c r="R198" i="1"/>
  <c r="M48" i="1" l="1"/>
  <c r="L48" i="1" s="1"/>
  <c r="J49" i="1" s="1"/>
  <c r="K49" i="1" s="1"/>
  <c r="AQ49" i="1" s="1"/>
  <c r="I48" i="1"/>
  <c r="G48" i="1"/>
  <c r="V199" i="1"/>
  <c r="Q200" i="1" s="1"/>
  <c r="W200" i="1" s="1"/>
  <c r="R199" i="1"/>
  <c r="AO48" i="1" l="1"/>
  <c r="B49" i="1"/>
  <c r="V200" i="1"/>
  <c r="Q201" i="1" s="1"/>
  <c r="W201" i="1" s="1"/>
  <c r="R200" i="1"/>
  <c r="C49" i="1" l="1"/>
  <c r="AF49" i="1"/>
  <c r="AG49" i="1"/>
  <c r="AH49" i="1" s="1"/>
  <c r="V201" i="1"/>
  <c r="Q202" i="1" s="1"/>
  <c r="W202" i="1" s="1"/>
  <c r="R201" i="1"/>
  <c r="AI49" i="1" l="1"/>
  <c r="AJ49" i="1" s="1"/>
  <c r="AM49" i="1"/>
  <c r="AN49" i="1" s="1"/>
  <c r="AK49" i="1"/>
  <c r="AL49" i="1" s="1"/>
  <c r="S49" i="1"/>
  <c r="T49" i="1" s="1"/>
  <c r="U49" i="1" s="1"/>
  <c r="D49" i="1"/>
  <c r="E49" i="1" s="1"/>
  <c r="V202" i="1"/>
  <c r="Q203" i="1" s="1"/>
  <c r="W203" i="1" s="1"/>
  <c r="R202" i="1"/>
  <c r="H49" i="1" l="1"/>
  <c r="F49" i="1"/>
  <c r="AP49" i="1"/>
  <c r="V203" i="1"/>
  <c r="Q204" i="1" s="1"/>
  <c r="W204" i="1" s="1"/>
  <c r="R203" i="1"/>
  <c r="M49" i="1" l="1"/>
  <c r="L49" i="1" s="1"/>
  <c r="J50" i="1" s="1"/>
  <c r="K50" i="1" s="1"/>
  <c r="AQ50" i="1" s="1"/>
  <c r="I49" i="1"/>
  <c r="G49" i="1"/>
  <c r="V204" i="1"/>
  <c r="Q205" i="1" s="1"/>
  <c r="W205" i="1" s="1"/>
  <c r="R204" i="1"/>
  <c r="AO49" i="1" l="1"/>
  <c r="B50" i="1"/>
  <c r="V205" i="1"/>
  <c r="Q206" i="1" s="1"/>
  <c r="W206" i="1" s="1"/>
  <c r="R205" i="1"/>
  <c r="AF50" i="1" l="1"/>
  <c r="AG50" i="1"/>
  <c r="AH50" i="1" s="1"/>
  <c r="C50" i="1"/>
  <c r="V206" i="1"/>
  <c r="Q207" i="1" s="1"/>
  <c r="W207" i="1" s="1"/>
  <c r="R206" i="1"/>
  <c r="D50" i="1" l="1"/>
  <c r="E50" i="1" s="1"/>
  <c r="S50" i="1"/>
  <c r="T50" i="1" s="1"/>
  <c r="U50" i="1" s="1"/>
  <c r="AI50" i="1"/>
  <c r="AJ50" i="1" s="1"/>
  <c r="AK50" i="1"/>
  <c r="AL50" i="1" s="1"/>
  <c r="AM50" i="1"/>
  <c r="AN50" i="1" s="1"/>
  <c r="V207" i="1"/>
  <c r="Q208" i="1" s="1"/>
  <c r="W208" i="1" s="1"/>
  <c r="R207" i="1"/>
  <c r="AP50" i="1" l="1"/>
  <c r="H50" i="1"/>
  <c r="F50" i="1"/>
  <c r="V208" i="1"/>
  <c r="Q209" i="1" s="1"/>
  <c r="W209" i="1" s="1"/>
  <c r="R208" i="1"/>
  <c r="M50" i="1" l="1"/>
  <c r="L50" i="1" s="1"/>
  <c r="J51" i="1" s="1"/>
  <c r="K51" i="1" s="1"/>
  <c r="AQ51" i="1" s="1"/>
  <c r="I50" i="1"/>
  <c r="G50" i="1"/>
  <c r="V209" i="1"/>
  <c r="Q210" i="1" s="1"/>
  <c r="W210" i="1" s="1"/>
  <c r="R209" i="1"/>
  <c r="AO50" i="1" l="1"/>
  <c r="B51" i="1"/>
  <c r="V210" i="1"/>
  <c r="Q211" i="1" s="1"/>
  <c r="W211" i="1" s="1"/>
  <c r="R210" i="1"/>
  <c r="C51" i="1" l="1"/>
  <c r="AF51" i="1"/>
  <c r="AG51" i="1"/>
  <c r="AH51" i="1" s="1"/>
  <c r="V211" i="1"/>
  <c r="Q212" i="1" s="1"/>
  <c r="W212" i="1" s="1"/>
  <c r="R211" i="1"/>
  <c r="AM51" i="1" l="1"/>
  <c r="AN51" i="1" s="1"/>
  <c r="AK51" i="1"/>
  <c r="AL51" i="1" s="1"/>
  <c r="AI51" i="1"/>
  <c r="AJ51" i="1" s="1"/>
  <c r="D51" i="1"/>
  <c r="E51" i="1" s="1"/>
  <c r="S51" i="1"/>
  <c r="T51" i="1" s="1"/>
  <c r="U51" i="1" s="1"/>
  <c r="V212" i="1"/>
  <c r="Q213" i="1" s="1"/>
  <c r="W213" i="1" s="1"/>
  <c r="R212" i="1"/>
  <c r="AP51" i="1" l="1"/>
  <c r="H51" i="1"/>
  <c r="F51" i="1"/>
  <c r="V213" i="1"/>
  <c r="Q214" i="1" s="1"/>
  <c r="W214" i="1" s="1"/>
  <c r="R213" i="1"/>
  <c r="M51" i="1" l="1"/>
  <c r="L51" i="1" s="1"/>
  <c r="J52" i="1" s="1"/>
  <c r="K52" i="1" s="1"/>
  <c r="AQ52" i="1" s="1"/>
  <c r="I51" i="1"/>
  <c r="G51" i="1"/>
  <c r="V214" i="1"/>
  <c r="Q215" i="1" s="1"/>
  <c r="W215" i="1" s="1"/>
  <c r="R214" i="1"/>
  <c r="AO51" i="1" l="1"/>
  <c r="B52" i="1"/>
  <c r="V215" i="1"/>
  <c r="Q216" i="1" s="1"/>
  <c r="W216" i="1" s="1"/>
  <c r="R215" i="1"/>
  <c r="AF52" i="1" l="1"/>
  <c r="C52" i="1"/>
  <c r="AG52" i="1"/>
  <c r="AH52" i="1" s="1"/>
  <c r="V216" i="1"/>
  <c r="Q217" i="1" s="1"/>
  <c r="W217" i="1" s="1"/>
  <c r="R216" i="1"/>
  <c r="D52" i="1" l="1"/>
  <c r="E52" i="1" s="1"/>
  <c r="S52" i="1"/>
  <c r="T52" i="1" s="1"/>
  <c r="U52" i="1" s="1"/>
  <c r="AM52" i="1"/>
  <c r="AN52" i="1" s="1"/>
  <c r="AK52" i="1"/>
  <c r="AL52" i="1" s="1"/>
  <c r="AI52" i="1"/>
  <c r="AJ52" i="1" s="1"/>
  <c r="V217" i="1"/>
  <c r="Q218" i="1" s="1"/>
  <c r="W218" i="1" s="1"/>
  <c r="R217" i="1"/>
  <c r="AP52" i="1" l="1"/>
  <c r="H52" i="1"/>
  <c r="F52" i="1"/>
  <c r="V218" i="1"/>
  <c r="Q219" i="1" s="1"/>
  <c r="W219" i="1" s="1"/>
  <c r="R218" i="1"/>
  <c r="M52" i="1" l="1"/>
  <c r="L52" i="1" s="1"/>
  <c r="J53" i="1" s="1"/>
  <c r="K53" i="1" s="1"/>
  <c r="AQ53" i="1" s="1"/>
  <c r="G52" i="1"/>
  <c r="I52" i="1"/>
  <c r="V219" i="1"/>
  <c r="Q220" i="1" s="1"/>
  <c r="W220" i="1" s="1"/>
  <c r="R219" i="1"/>
  <c r="AO52" i="1" l="1"/>
  <c r="B53" i="1"/>
  <c r="V220" i="1"/>
  <c r="Q221" i="1" s="1"/>
  <c r="W221" i="1" s="1"/>
  <c r="R220" i="1"/>
  <c r="C53" i="1" l="1"/>
  <c r="AG53" i="1"/>
  <c r="AH53" i="1" s="1"/>
  <c r="AF53" i="1"/>
  <c r="V221" i="1"/>
  <c r="Q222" i="1" s="1"/>
  <c r="W222" i="1" s="1"/>
  <c r="R221" i="1"/>
  <c r="AM53" i="1" l="1"/>
  <c r="AN53" i="1" s="1"/>
  <c r="AI53" i="1"/>
  <c r="AJ53" i="1" s="1"/>
  <c r="AK53" i="1"/>
  <c r="AL53" i="1" s="1"/>
  <c r="D53" i="1"/>
  <c r="E53" i="1" s="1"/>
  <c r="S53" i="1"/>
  <c r="T53" i="1" s="1"/>
  <c r="U53" i="1" s="1"/>
  <c r="V222" i="1"/>
  <c r="Q223" i="1" s="1"/>
  <c r="W223" i="1" s="1"/>
  <c r="R222" i="1"/>
  <c r="AP53" i="1" l="1"/>
  <c r="H53" i="1"/>
  <c r="F53" i="1"/>
  <c r="V223" i="1"/>
  <c r="Q224" i="1" s="1"/>
  <c r="W224" i="1" s="1"/>
  <c r="R223" i="1"/>
  <c r="M53" i="1" l="1"/>
  <c r="L53" i="1" s="1"/>
  <c r="J54" i="1" s="1"/>
  <c r="K54" i="1" s="1"/>
  <c r="AQ54" i="1" s="1"/>
  <c r="G53" i="1"/>
  <c r="I53" i="1"/>
  <c r="V224" i="1"/>
  <c r="Q225" i="1" s="1"/>
  <c r="W225" i="1" s="1"/>
  <c r="R224" i="1"/>
  <c r="AO53" i="1" l="1"/>
  <c r="B54" i="1"/>
  <c r="V225" i="1"/>
  <c r="Q226" i="1" s="1"/>
  <c r="W226" i="1" s="1"/>
  <c r="R225" i="1"/>
  <c r="C54" i="1" l="1"/>
  <c r="AG54" i="1"/>
  <c r="AH54" i="1" s="1"/>
  <c r="AF54" i="1"/>
  <c r="V226" i="1"/>
  <c r="Q227" i="1" s="1"/>
  <c r="W227" i="1" s="1"/>
  <c r="R226" i="1"/>
  <c r="AI54" i="1" l="1"/>
  <c r="AJ54" i="1" s="1"/>
  <c r="AM54" i="1"/>
  <c r="AN54" i="1" s="1"/>
  <c r="AK54" i="1"/>
  <c r="AL54" i="1" s="1"/>
  <c r="D54" i="1"/>
  <c r="E54" i="1" s="1"/>
  <c r="S54" i="1"/>
  <c r="T54" i="1" s="1"/>
  <c r="U54" i="1" s="1"/>
  <c r="V227" i="1"/>
  <c r="Q228" i="1" s="1"/>
  <c r="W228" i="1" s="1"/>
  <c r="R227" i="1"/>
  <c r="AP54" i="1" l="1"/>
  <c r="H54" i="1"/>
  <c r="F54" i="1"/>
  <c r="V228" i="1"/>
  <c r="Q229" i="1" s="1"/>
  <c r="W229" i="1" s="1"/>
  <c r="R228" i="1"/>
  <c r="M54" i="1" l="1"/>
  <c r="L54" i="1" s="1"/>
  <c r="J55" i="1" s="1"/>
  <c r="K55" i="1" s="1"/>
  <c r="AQ55" i="1" s="1"/>
  <c r="I54" i="1"/>
  <c r="G54" i="1"/>
  <c r="V229" i="1"/>
  <c r="Q230" i="1" s="1"/>
  <c r="W230" i="1" s="1"/>
  <c r="R229" i="1"/>
  <c r="AO54" i="1" l="1"/>
  <c r="B55" i="1"/>
  <c r="V230" i="1"/>
  <c r="Q231" i="1" s="1"/>
  <c r="W231" i="1" s="1"/>
  <c r="R230" i="1"/>
  <c r="C55" i="1" l="1"/>
  <c r="AF55" i="1"/>
  <c r="AG55" i="1"/>
  <c r="AH55" i="1" s="1"/>
  <c r="V231" i="1"/>
  <c r="Q232" i="1" s="1"/>
  <c r="W232" i="1" s="1"/>
  <c r="R231" i="1"/>
  <c r="AM55" i="1" l="1"/>
  <c r="AN55" i="1" s="1"/>
  <c r="AK55" i="1"/>
  <c r="AL55" i="1" s="1"/>
  <c r="AI55" i="1"/>
  <c r="AJ55" i="1" s="1"/>
  <c r="D55" i="1"/>
  <c r="E55" i="1" s="1"/>
  <c r="S55" i="1"/>
  <c r="T55" i="1" s="1"/>
  <c r="U55" i="1" s="1"/>
  <c r="V232" i="1"/>
  <c r="Q233" i="1" s="1"/>
  <c r="W233" i="1" s="1"/>
  <c r="R232" i="1"/>
  <c r="H55" i="1" l="1"/>
  <c r="F55" i="1"/>
  <c r="AP55" i="1"/>
  <c r="V233" i="1"/>
  <c r="Q234" i="1" s="1"/>
  <c r="W234" i="1" s="1"/>
  <c r="R233" i="1"/>
  <c r="M55" i="1" l="1"/>
  <c r="L55" i="1" s="1"/>
  <c r="J56" i="1" s="1"/>
  <c r="K56" i="1" s="1"/>
  <c r="AQ56" i="1" s="1"/>
  <c r="I55" i="1"/>
  <c r="G55" i="1"/>
  <c r="V234" i="1"/>
  <c r="Q235" i="1" s="1"/>
  <c r="W235" i="1" s="1"/>
  <c r="R234" i="1"/>
  <c r="AO55" i="1" l="1"/>
  <c r="B56" i="1"/>
  <c r="V235" i="1"/>
  <c r="Q236" i="1" s="1"/>
  <c r="W236" i="1" s="1"/>
  <c r="R235" i="1"/>
  <c r="AF56" i="1" l="1"/>
  <c r="C56" i="1"/>
  <c r="AG56" i="1"/>
  <c r="AH56" i="1" s="1"/>
  <c r="V236" i="1"/>
  <c r="Q237" i="1" s="1"/>
  <c r="W237" i="1" s="1"/>
  <c r="R236" i="1"/>
  <c r="AM56" i="1" l="1"/>
  <c r="AN56" i="1" s="1"/>
  <c r="AK56" i="1"/>
  <c r="AL56" i="1" s="1"/>
  <c r="AI56" i="1"/>
  <c r="AJ56" i="1" s="1"/>
  <c r="S56" i="1"/>
  <c r="T56" i="1" s="1"/>
  <c r="U56" i="1" s="1"/>
  <c r="D56" i="1"/>
  <c r="E56" i="1" s="1"/>
  <c r="V237" i="1"/>
  <c r="Q238" i="1" s="1"/>
  <c r="W238" i="1" s="1"/>
  <c r="R237" i="1"/>
  <c r="H56" i="1" l="1"/>
  <c r="F56" i="1"/>
  <c r="AP56" i="1"/>
  <c r="V238" i="1"/>
  <c r="Q239" i="1" s="1"/>
  <c r="W239" i="1" s="1"/>
  <c r="R238" i="1"/>
  <c r="M56" i="1" l="1"/>
  <c r="L56" i="1" s="1"/>
  <c r="J57" i="1" s="1"/>
  <c r="K57" i="1" s="1"/>
  <c r="AQ57" i="1" s="1"/>
  <c r="I56" i="1"/>
  <c r="G56" i="1"/>
  <c r="V239" i="1"/>
  <c r="Q240" i="1" s="1"/>
  <c r="W240" i="1" s="1"/>
  <c r="R239" i="1"/>
  <c r="AO56" i="1" l="1"/>
  <c r="B57" i="1"/>
  <c r="V240" i="1"/>
  <c r="Q241" i="1" s="1"/>
  <c r="W241" i="1" s="1"/>
  <c r="R240" i="1"/>
  <c r="AF57" i="1" l="1"/>
  <c r="AG57" i="1"/>
  <c r="AH57" i="1" s="1"/>
  <c r="C57" i="1"/>
  <c r="V241" i="1"/>
  <c r="Q242" i="1" s="1"/>
  <c r="W242" i="1" s="1"/>
  <c r="R241" i="1"/>
  <c r="S57" i="1" l="1"/>
  <c r="T57" i="1" s="1"/>
  <c r="U57" i="1" s="1"/>
  <c r="D57" i="1"/>
  <c r="E57" i="1" s="1"/>
  <c r="AK57" i="1"/>
  <c r="AL57" i="1" s="1"/>
  <c r="AM57" i="1"/>
  <c r="AN57" i="1" s="1"/>
  <c r="AI57" i="1"/>
  <c r="AJ57" i="1" s="1"/>
  <c r="V242" i="1"/>
  <c r="Q243" i="1" s="1"/>
  <c r="W243" i="1" s="1"/>
  <c r="R242" i="1"/>
  <c r="AP57" i="1" l="1"/>
  <c r="H57" i="1"/>
  <c r="F57" i="1"/>
  <c r="V243" i="1"/>
  <c r="Q244" i="1" s="1"/>
  <c r="W244" i="1" s="1"/>
  <c r="R243" i="1"/>
  <c r="M57" i="1" l="1"/>
  <c r="L57" i="1" s="1"/>
  <c r="J58" i="1" s="1"/>
  <c r="K58" i="1" s="1"/>
  <c r="AQ58" i="1" s="1"/>
  <c r="I57" i="1"/>
  <c r="G57" i="1"/>
  <c r="V244" i="1"/>
  <c r="Q245" i="1" s="1"/>
  <c r="W245" i="1" s="1"/>
  <c r="R244" i="1"/>
  <c r="AO57" i="1" l="1"/>
  <c r="B58" i="1"/>
  <c r="V245" i="1"/>
  <c r="Q246" i="1" s="1"/>
  <c r="W246" i="1" s="1"/>
  <c r="R245" i="1"/>
  <c r="AF58" i="1" l="1"/>
  <c r="AG58" i="1"/>
  <c r="AH58" i="1" s="1"/>
  <c r="C58" i="1"/>
  <c r="V246" i="1"/>
  <c r="Q247" i="1" s="1"/>
  <c r="W247" i="1" s="1"/>
  <c r="R246" i="1"/>
  <c r="AK58" i="1" l="1"/>
  <c r="AL58" i="1" s="1"/>
  <c r="AM58" i="1"/>
  <c r="AN58" i="1" s="1"/>
  <c r="AI58" i="1"/>
  <c r="AJ58" i="1" s="1"/>
  <c r="S58" i="1"/>
  <c r="T58" i="1" s="1"/>
  <c r="U58" i="1" s="1"/>
  <c r="D58" i="1"/>
  <c r="E58" i="1" s="1"/>
  <c r="V247" i="1"/>
  <c r="Q248" i="1" s="1"/>
  <c r="W248" i="1" s="1"/>
  <c r="R247" i="1"/>
  <c r="AP58" i="1" l="1"/>
  <c r="H58" i="1"/>
  <c r="F58" i="1"/>
  <c r="V248" i="1"/>
  <c r="Q249" i="1" s="1"/>
  <c r="W249" i="1" s="1"/>
  <c r="R248" i="1"/>
  <c r="M58" i="1" l="1"/>
  <c r="L58" i="1" s="1"/>
  <c r="J59" i="1" s="1"/>
  <c r="K59" i="1" s="1"/>
  <c r="AQ59" i="1" s="1"/>
  <c r="G58" i="1"/>
  <c r="I58" i="1"/>
  <c r="V249" i="1"/>
  <c r="Q250" i="1" s="1"/>
  <c r="W250" i="1" s="1"/>
  <c r="R249" i="1"/>
  <c r="B59" i="1" l="1"/>
  <c r="AO58" i="1"/>
  <c r="V250" i="1"/>
  <c r="Q251" i="1" s="1"/>
  <c r="W251" i="1" s="1"/>
  <c r="R250" i="1"/>
  <c r="AF59" i="1" l="1"/>
  <c r="C59" i="1"/>
  <c r="AG59" i="1"/>
  <c r="AH59" i="1" s="1"/>
  <c r="V251" i="1"/>
  <c r="Q252" i="1" s="1"/>
  <c r="W252" i="1" s="1"/>
  <c r="R251" i="1"/>
  <c r="AI59" i="1" l="1"/>
  <c r="AJ59" i="1" s="1"/>
  <c r="AM59" i="1"/>
  <c r="AN59" i="1" s="1"/>
  <c r="AK59" i="1"/>
  <c r="AL59" i="1" s="1"/>
  <c r="S59" i="1"/>
  <c r="T59" i="1" s="1"/>
  <c r="U59" i="1" s="1"/>
  <c r="D59" i="1"/>
  <c r="E59" i="1" s="1"/>
  <c r="V252" i="1"/>
  <c r="Q253" i="1" s="1"/>
  <c r="W253" i="1" s="1"/>
  <c r="R252" i="1"/>
  <c r="H59" i="1" l="1"/>
  <c r="F59" i="1"/>
  <c r="AP59" i="1"/>
  <c r="V253" i="1"/>
  <c r="Q254" i="1" s="1"/>
  <c r="W254" i="1" s="1"/>
  <c r="R253" i="1"/>
  <c r="M59" i="1" l="1"/>
  <c r="L59" i="1" s="1"/>
  <c r="J60" i="1" s="1"/>
  <c r="K60" i="1" s="1"/>
  <c r="AQ60" i="1" s="1"/>
  <c r="I59" i="1"/>
  <c r="G59" i="1"/>
  <c r="V254" i="1"/>
  <c r="Q255" i="1" s="1"/>
  <c r="W255" i="1" s="1"/>
  <c r="R254" i="1"/>
  <c r="AO59" i="1" l="1"/>
  <c r="B60" i="1"/>
  <c r="V255" i="1"/>
  <c r="Q256" i="1" s="1"/>
  <c r="W256" i="1" s="1"/>
  <c r="R255" i="1"/>
  <c r="C60" i="1" l="1"/>
  <c r="AG60" i="1"/>
  <c r="AH60" i="1" s="1"/>
  <c r="AF60" i="1"/>
  <c r="V256" i="1"/>
  <c r="Q257" i="1" s="1"/>
  <c r="W257" i="1" s="1"/>
  <c r="R256" i="1"/>
  <c r="AK60" i="1" l="1"/>
  <c r="AL60" i="1" s="1"/>
  <c r="AM60" i="1"/>
  <c r="AN60" i="1" s="1"/>
  <c r="AI60" i="1"/>
  <c r="AJ60" i="1" s="1"/>
  <c r="D60" i="1"/>
  <c r="E60" i="1" s="1"/>
  <c r="S60" i="1"/>
  <c r="T60" i="1" s="1"/>
  <c r="U60" i="1" s="1"/>
  <c r="V257" i="1"/>
  <c r="Q258" i="1" s="1"/>
  <c r="W258" i="1" s="1"/>
  <c r="R257" i="1"/>
  <c r="H60" i="1" l="1"/>
  <c r="F60" i="1"/>
  <c r="AP60" i="1"/>
  <c r="V258" i="1"/>
  <c r="Q259" i="1" s="1"/>
  <c r="W259" i="1" s="1"/>
  <c r="R258" i="1"/>
  <c r="M60" i="1" l="1"/>
  <c r="L60" i="1" s="1"/>
  <c r="J61" i="1" s="1"/>
  <c r="K61" i="1" s="1"/>
  <c r="AQ61" i="1" s="1"/>
  <c r="G60" i="1"/>
  <c r="I60" i="1"/>
  <c r="V259" i="1"/>
  <c r="Q260" i="1" s="1"/>
  <c r="W260" i="1" s="1"/>
  <c r="R259" i="1"/>
  <c r="AO60" i="1" l="1"/>
  <c r="B61" i="1"/>
  <c r="V260" i="1"/>
  <c r="Q261" i="1" s="1"/>
  <c r="W261" i="1" s="1"/>
  <c r="R260" i="1"/>
  <c r="AF61" i="1" l="1"/>
  <c r="C61" i="1"/>
  <c r="AG61" i="1"/>
  <c r="AH61" i="1" s="1"/>
  <c r="V261" i="1"/>
  <c r="Q262" i="1" s="1"/>
  <c r="W262" i="1" s="1"/>
  <c r="R261" i="1"/>
  <c r="AI61" i="1" l="1"/>
  <c r="AJ61" i="1" s="1"/>
  <c r="AK61" i="1"/>
  <c r="AL61" i="1" s="1"/>
  <c r="AM61" i="1"/>
  <c r="AN61" i="1" s="1"/>
  <c r="D61" i="1"/>
  <c r="E61" i="1" s="1"/>
  <c r="S61" i="1"/>
  <c r="T61" i="1" s="1"/>
  <c r="U61" i="1" s="1"/>
  <c r="V262" i="1"/>
  <c r="Q263" i="1" s="1"/>
  <c r="W263" i="1" s="1"/>
  <c r="R262" i="1"/>
  <c r="AP61" i="1" l="1"/>
  <c r="H61" i="1"/>
  <c r="F61" i="1"/>
  <c r="V263" i="1"/>
  <c r="Q264" i="1" s="1"/>
  <c r="W264" i="1" s="1"/>
  <c r="R263" i="1"/>
  <c r="M61" i="1" l="1"/>
  <c r="L61" i="1" s="1"/>
  <c r="J62" i="1" s="1"/>
  <c r="K62" i="1" s="1"/>
  <c r="AQ62" i="1" s="1"/>
  <c r="G61" i="1"/>
  <c r="I61" i="1"/>
  <c r="V264" i="1"/>
  <c r="Q265" i="1" s="1"/>
  <c r="W265" i="1" s="1"/>
  <c r="R264" i="1"/>
  <c r="AO61" i="1" l="1"/>
  <c r="B62" i="1"/>
  <c r="V265" i="1"/>
  <c r="Q266" i="1" s="1"/>
  <c r="W266" i="1" s="1"/>
  <c r="R265" i="1"/>
  <c r="AF62" i="1" l="1"/>
  <c r="C62" i="1"/>
  <c r="AG62" i="1"/>
  <c r="AH62" i="1" s="1"/>
  <c r="V266" i="1"/>
  <c r="Q267" i="1" s="1"/>
  <c r="W267" i="1" s="1"/>
  <c r="R266" i="1"/>
  <c r="AI62" i="1" l="1"/>
  <c r="AJ62" i="1" s="1"/>
  <c r="AK62" i="1"/>
  <c r="AL62" i="1" s="1"/>
  <c r="AM62" i="1"/>
  <c r="AN62" i="1" s="1"/>
  <c r="D62" i="1"/>
  <c r="E62" i="1" s="1"/>
  <c r="S62" i="1"/>
  <c r="T62" i="1" s="1"/>
  <c r="U62" i="1" s="1"/>
  <c r="V267" i="1"/>
  <c r="Q268" i="1" s="1"/>
  <c r="W268" i="1" s="1"/>
  <c r="R267" i="1"/>
  <c r="H62" i="1" l="1"/>
  <c r="F62" i="1"/>
  <c r="AP62" i="1"/>
  <c r="V268" i="1"/>
  <c r="Q269" i="1" s="1"/>
  <c r="W269" i="1" s="1"/>
  <c r="R268" i="1"/>
  <c r="M62" i="1" l="1"/>
  <c r="L62" i="1" s="1"/>
  <c r="J63" i="1" s="1"/>
  <c r="K63" i="1" s="1"/>
  <c r="AQ63" i="1" s="1"/>
  <c r="G62" i="1"/>
  <c r="I62" i="1"/>
  <c r="V269" i="1"/>
  <c r="Q270" i="1" s="1"/>
  <c r="W270" i="1" s="1"/>
  <c r="R269" i="1"/>
  <c r="AO62" i="1" l="1"/>
  <c r="B63" i="1"/>
  <c r="V270" i="1"/>
  <c r="Q271" i="1" s="1"/>
  <c r="W271" i="1" s="1"/>
  <c r="R270" i="1"/>
  <c r="AG63" i="1" l="1"/>
  <c r="AH63" i="1" s="1"/>
  <c r="AF63" i="1"/>
  <c r="C63" i="1"/>
  <c r="V271" i="1"/>
  <c r="Q272" i="1" s="1"/>
  <c r="W272" i="1" s="1"/>
  <c r="R271" i="1"/>
  <c r="D63" i="1" l="1"/>
  <c r="E63" i="1" s="1"/>
  <c r="S63" i="1"/>
  <c r="T63" i="1" s="1"/>
  <c r="U63" i="1" s="1"/>
  <c r="AK63" i="1"/>
  <c r="AL63" i="1" s="1"/>
  <c r="AI63" i="1"/>
  <c r="AJ63" i="1" s="1"/>
  <c r="AM63" i="1"/>
  <c r="AN63" i="1" s="1"/>
  <c r="V272" i="1"/>
  <c r="Q273" i="1" s="1"/>
  <c r="W273" i="1" s="1"/>
  <c r="R272" i="1"/>
  <c r="AP63" i="1" l="1"/>
  <c r="H63" i="1"/>
  <c r="F63" i="1"/>
  <c r="V273" i="1"/>
  <c r="Q274" i="1" s="1"/>
  <c r="W274" i="1" s="1"/>
  <c r="R273" i="1"/>
  <c r="M63" i="1" l="1"/>
  <c r="L63" i="1" s="1"/>
  <c r="J64" i="1" s="1"/>
  <c r="K64" i="1" s="1"/>
  <c r="AQ64" i="1" s="1"/>
  <c r="I63" i="1"/>
  <c r="G63" i="1"/>
  <c r="V274" i="1"/>
  <c r="Q275" i="1" s="1"/>
  <c r="W275" i="1" s="1"/>
  <c r="R274" i="1"/>
  <c r="AO63" i="1" l="1"/>
  <c r="B64" i="1"/>
  <c r="V275" i="1"/>
  <c r="Q276" i="1" s="1"/>
  <c r="W276" i="1" s="1"/>
  <c r="R275" i="1"/>
  <c r="C64" i="1" l="1"/>
  <c r="AG64" i="1"/>
  <c r="AH64" i="1" s="1"/>
  <c r="AF64" i="1"/>
  <c r="V276" i="1"/>
  <c r="Q277" i="1" s="1"/>
  <c r="W277" i="1" s="1"/>
  <c r="R276" i="1"/>
  <c r="AM64" i="1" l="1"/>
  <c r="AN64" i="1" s="1"/>
  <c r="AI64" i="1"/>
  <c r="AJ64" i="1" s="1"/>
  <c r="AK64" i="1"/>
  <c r="AL64" i="1" s="1"/>
  <c r="D64" i="1"/>
  <c r="E64" i="1" s="1"/>
  <c r="S64" i="1"/>
  <c r="T64" i="1" s="1"/>
  <c r="U64" i="1" s="1"/>
  <c r="V277" i="1"/>
  <c r="Q278" i="1" s="1"/>
  <c r="W278" i="1" s="1"/>
  <c r="R277" i="1"/>
  <c r="AP64" i="1" l="1"/>
  <c r="H64" i="1"/>
  <c r="F64" i="1"/>
  <c r="V278" i="1"/>
  <c r="Q279" i="1" s="1"/>
  <c r="W279" i="1" s="1"/>
  <c r="R278" i="1"/>
  <c r="M64" i="1" l="1"/>
  <c r="L64" i="1" s="1"/>
  <c r="J65" i="1" s="1"/>
  <c r="K65" i="1" s="1"/>
  <c r="AQ65" i="1" s="1"/>
  <c r="G64" i="1"/>
  <c r="I64" i="1"/>
  <c r="V279" i="1"/>
  <c r="Q280" i="1" s="1"/>
  <c r="W280" i="1" s="1"/>
  <c r="R279" i="1"/>
  <c r="AO64" i="1" l="1"/>
  <c r="B65" i="1"/>
  <c r="V280" i="1"/>
  <c r="Q281" i="1" s="1"/>
  <c r="W281" i="1" s="1"/>
  <c r="R280" i="1"/>
  <c r="C65" i="1" l="1"/>
  <c r="AG65" i="1"/>
  <c r="AH65" i="1" s="1"/>
  <c r="AF65" i="1"/>
  <c r="V281" i="1"/>
  <c r="Q282" i="1" s="1"/>
  <c r="W282" i="1" s="1"/>
  <c r="R281" i="1"/>
  <c r="AK65" i="1" l="1"/>
  <c r="AL65" i="1" s="1"/>
  <c r="AI65" i="1"/>
  <c r="AJ65" i="1" s="1"/>
  <c r="AM65" i="1"/>
  <c r="AN65" i="1" s="1"/>
  <c r="D65" i="1"/>
  <c r="E65" i="1" s="1"/>
  <c r="S65" i="1"/>
  <c r="T65" i="1" s="1"/>
  <c r="U65" i="1" s="1"/>
  <c r="V282" i="1"/>
  <c r="Q283" i="1" s="1"/>
  <c r="W283" i="1" s="1"/>
  <c r="R282" i="1"/>
  <c r="AP65" i="1" l="1"/>
  <c r="H65" i="1"/>
  <c r="F65" i="1"/>
  <c r="V283" i="1"/>
  <c r="Q284" i="1" s="1"/>
  <c r="W284" i="1" s="1"/>
  <c r="R283" i="1"/>
  <c r="M65" i="1" l="1"/>
  <c r="L65" i="1" s="1"/>
  <c r="J66" i="1" s="1"/>
  <c r="K66" i="1" s="1"/>
  <c r="AQ66" i="1" s="1"/>
  <c r="I65" i="1"/>
  <c r="G65" i="1"/>
  <c r="V284" i="1"/>
  <c r="Q285" i="1" s="1"/>
  <c r="W285" i="1" s="1"/>
  <c r="R284" i="1"/>
  <c r="AO65" i="1" l="1"/>
  <c r="B66" i="1"/>
  <c r="V285" i="1"/>
  <c r="Q286" i="1" s="1"/>
  <c r="W286" i="1" s="1"/>
  <c r="R285" i="1"/>
  <c r="C66" i="1" l="1"/>
  <c r="AG66" i="1"/>
  <c r="AH66" i="1" s="1"/>
  <c r="AF66" i="1"/>
  <c r="V286" i="1"/>
  <c r="Q287" i="1" s="1"/>
  <c r="W287" i="1" s="1"/>
  <c r="R286" i="1"/>
  <c r="AK66" i="1" l="1"/>
  <c r="AL66" i="1" s="1"/>
  <c r="AM66" i="1"/>
  <c r="AN66" i="1" s="1"/>
  <c r="AI66" i="1"/>
  <c r="AJ66" i="1" s="1"/>
  <c r="D66" i="1"/>
  <c r="E66" i="1" s="1"/>
  <c r="S66" i="1"/>
  <c r="T66" i="1" s="1"/>
  <c r="U66" i="1" s="1"/>
  <c r="V287" i="1"/>
  <c r="Q288" i="1" s="1"/>
  <c r="W288" i="1" s="1"/>
  <c r="R287" i="1"/>
  <c r="AP66" i="1" l="1"/>
  <c r="H66" i="1"/>
  <c r="F66" i="1"/>
  <c r="V288" i="1"/>
  <c r="Q289" i="1" s="1"/>
  <c r="W289" i="1" s="1"/>
  <c r="R288" i="1"/>
  <c r="M66" i="1" l="1"/>
  <c r="L66" i="1" s="1"/>
  <c r="J67" i="1" s="1"/>
  <c r="K67" i="1" s="1"/>
  <c r="AQ67" i="1" s="1"/>
  <c r="G66" i="1"/>
  <c r="I66" i="1"/>
  <c r="V289" i="1"/>
  <c r="Q290" i="1" s="1"/>
  <c r="W290" i="1" s="1"/>
  <c r="R289" i="1"/>
  <c r="AO66" i="1" l="1"/>
  <c r="B67" i="1"/>
  <c r="V290" i="1"/>
  <c r="Q291" i="1" s="1"/>
  <c r="W291" i="1" s="1"/>
  <c r="R290" i="1"/>
  <c r="AF67" i="1" l="1"/>
  <c r="C67" i="1"/>
  <c r="AG67" i="1"/>
  <c r="AH67" i="1" s="1"/>
  <c r="V291" i="1"/>
  <c r="Q292" i="1" s="1"/>
  <c r="W292" i="1" s="1"/>
  <c r="R291" i="1"/>
  <c r="AM67" i="1" l="1"/>
  <c r="AN67" i="1" s="1"/>
  <c r="AI67" i="1"/>
  <c r="AJ67" i="1" s="1"/>
  <c r="AK67" i="1"/>
  <c r="AL67" i="1" s="1"/>
  <c r="S67" i="1"/>
  <c r="T67" i="1" s="1"/>
  <c r="U67" i="1" s="1"/>
  <c r="D67" i="1"/>
  <c r="E67" i="1" s="1"/>
  <c r="V292" i="1"/>
  <c r="Q293" i="1" s="1"/>
  <c r="W293" i="1" s="1"/>
  <c r="R292" i="1"/>
  <c r="H67" i="1" l="1"/>
  <c r="F67" i="1"/>
  <c r="AP67" i="1"/>
  <c r="V293" i="1"/>
  <c r="Q294" i="1" s="1"/>
  <c r="W294" i="1" s="1"/>
  <c r="R293" i="1"/>
  <c r="M67" i="1" l="1"/>
  <c r="L67" i="1" s="1"/>
  <c r="J68" i="1" s="1"/>
  <c r="K68" i="1" s="1"/>
  <c r="AQ68" i="1" s="1"/>
  <c r="I67" i="1"/>
  <c r="G67" i="1"/>
  <c r="V294" i="1"/>
  <c r="Q295" i="1" s="1"/>
  <c r="W295" i="1" s="1"/>
  <c r="R294" i="1"/>
  <c r="AO67" i="1" l="1"/>
  <c r="B68" i="1"/>
  <c r="V295" i="1"/>
  <c r="Q296" i="1" s="1"/>
  <c r="W296" i="1" s="1"/>
  <c r="R295" i="1"/>
  <c r="AF68" i="1" l="1"/>
  <c r="C68" i="1"/>
  <c r="AG68" i="1"/>
  <c r="AH68" i="1" s="1"/>
  <c r="V296" i="1"/>
  <c r="Q297" i="1" s="1"/>
  <c r="W297" i="1" s="1"/>
  <c r="R296" i="1"/>
  <c r="AK68" i="1" l="1"/>
  <c r="AL68" i="1" s="1"/>
  <c r="AI68" i="1"/>
  <c r="AJ68" i="1" s="1"/>
  <c r="AM68" i="1"/>
  <c r="AN68" i="1" s="1"/>
  <c r="D68" i="1"/>
  <c r="E68" i="1" s="1"/>
  <c r="S68" i="1"/>
  <c r="T68" i="1" s="1"/>
  <c r="U68" i="1" s="1"/>
  <c r="V297" i="1"/>
  <c r="Q298" i="1" s="1"/>
  <c r="W298" i="1" s="1"/>
  <c r="R297" i="1"/>
  <c r="AP68" i="1" l="1"/>
  <c r="H68" i="1"/>
  <c r="F68" i="1"/>
  <c r="V298" i="1"/>
  <c r="Q299" i="1" s="1"/>
  <c r="W299" i="1" s="1"/>
  <c r="R298" i="1"/>
  <c r="M68" i="1" l="1"/>
  <c r="L68" i="1" s="1"/>
  <c r="J69" i="1" s="1"/>
  <c r="K69" i="1" s="1"/>
  <c r="AQ69" i="1" s="1"/>
  <c r="G68" i="1"/>
  <c r="I68" i="1"/>
  <c r="V299" i="1"/>
  <c r="Q300" i="1" s="1"/>
  <c r="W300" i="1" s="1"/>
  <c r="R299" i="1"/>
  <c r="AO68" i="1" l="1"/>
  <c r="B69" i="1"/>
  <c r="V300" i="1"/>
  <c r="Q301" i="1" s="1"/>
  <c r="W301" i="1" s="1"/>
  <c r="R300" i="1"/>
  <c r="AF69" i="1" l="1"/>
  <c r="C69" i="1"/>
  <c r="AG69" i="1"/>
  <c r="AH69" i="1" s="1"/>
  <c r="V301" i="1"/>
  <c r="Q302" i="1" s="1"/>
  <c r="W302" i="1" s="1"/>
  <c r="R301" i="1"/>
  <c r="AM69" i="1" l="1"/>
  <c r="AN69" i="1" s="1"/>
  <c r="AK69" i="1"/>
  <c r="AL69" i="1" s="1"/>
  <c r="AI69" i="1"/>
  <c r="AJ69" i="1" s="1"/>
  <c r="S69" i="1"/>
  <c r="T69" i="1" s="1"/>
  <c r="U69" i="1" s="1"/>
  <c r="D69" i="1"/>
  <c r="E69" i="1" s="1"/>
  <c r="V302" i="1"/>
  <c r="Q303" i="1" s="1"/>
  <c r="W303" i="1" s="1"/>
  <c r="R302" i="1"/>
  <c r="H69" i="1" l="1"/>
  <c r="F69" i="1"/>
  <c r="AP69" i="1"/>
  <c r="V303" i="1"/>
  <c r="Q304" i="1" s="1"/>
  <c r="W304" i="1" s="1"/>
  <c r="R303" i="1"/>
  <c r="M69" i="1" l="1"/>
  <c r="L69" i="1" s="1"/>
  <c r="J70" i="1" s="1"/>
  <c r="K70" i="1" s="1"/>
  <c r="AQ70" i="1" s="1"/>
  <c r="I69" i="1"/>
  <c r="G69" i="1"/>
  <c r="V304" i="1"/>
  <c r="Q305" i="1" s="1"/>
  <c r="W305" i="1" s="1"/>
  <c r="R304" i="1"/>
  <c r="AO69" i="1" l="1"/>
  <c r="B70" i="1"/>
  <c r="V305" i="1"/>
  <c r="Q306" i="1" s="1"/>
  <c r="W306" i="1" s="1"/>
  <c r="R305" i="1"/>
  <c r="AG70" i="1" l="1"/>
  <c r="AH70" i="1" s="1"/>
  <c r="C70" i="1"/>
  <c r="AF70" i="1"/>
  <c r="V306" i="1"/>
  <c r="Q307" i="1" s="1"/>
  <c r="W307" i="1" s="1"/>
  <c r="R306" i="1"/>
  <c r="D70" i="1" l="1"/>
  <c r="E70" i="1" s="1"/>
  <c r="S70" i="1"/>
  <c r="T70" i="1" s="1"/>
  <c r="U70" i="1" s="1"/>
  <c r="AI70" i="1"/>
  <c r="AJ70" i="1" s="1"/>
  <c r="AK70" i="1"/>
  <c r="AL70" i="1" s="1"/>
  <c r="AM70" i="1"/>
  <c r="AN70" i="1" s="1"/>
  <c r="V307" i="1"/>
  <c r="Q308" i="1" s="1"/>
  <c r="W308" i="1" s="1"/>
  <c r="R307" i="1"/>
  <c r="AP70" i="1" l="1"/>
  <c r="H70" i="1"/>
  <c r="F70" i="1"/>
  <c r="V308" i="1"/>
  <c r="Q309" i="1" s="1"/>
  <c r="W309" i="1" s="1"/>
  <c r="R308" i="1"/>
  <c r="M70" i="1" l="1"/>
  <c r="L70" i="1" s="1"/>
  <c r="J71" i="1" s="1"/>
  <c r="K71" i="1" s="1"/>
  <c r="AQ71" i="1" s="1"/>
  <c r="T28" i="2" s="1"/>
  <c r="I70" i="1"/>
  <c r="G70" i="1"/>
  <c r="V309" i="1"/>
  <c r="Q310" i="1" s="1"/>
  <c r="W310" i="1" s="1"/>
  <c r="R309" i="1"/>
  <c r="AO70" i="1" l="1"/>
  <c r="B71" i="1"/>
  <c r="V310" i="1"/>
  <c r="Q311" i="1" s="1"/>
  <c r="W311" i="1" s="1"/>
  <c r="R310" i="1"/>
  <c r="AF71" i="1" l="1"/>
  <c r="C71" i="1"/>
  <c r="AG71" i="1"/>
  <c r="AH71" i="1" s="1"/>
  <c r="V311" i="1"/>
  <c r="Q312" i="1" s="1"/>
  <c r="W312" i="1" s="1"/>
  <c r="R311" i="1"/>
  <c r="D71" i="1" l="1"/>
  <c r="E71" i="1" s="1"/>
  <c r="S71" i="1"/>
  <c r="T71" i="1" s="1"/>
  <c r="U71" i="1" s="1"/>
  <c r="AM71" i="1"/>
  <c r="AN71" i="1" s="1"/>
  <c r="AI71" i="1"/>
  <c r="AJ71" i="1" s="1"/>
  <c r="AK71" i="1"/>
  <c r="AL71" i="1" s="1"/>
  <c r="V312" i="1"/>
  <c r="Q313" i="1" s="1"/>
  <c r="W313" i="1" s="1"/>
  <c r="R312" i="1"/>
  <c r="AP71" i="1" l="1"/>
  <c r="R28" i="2" s="1"/>
  <c r="H71" i="1"/>
  <c r="F71" i="1"/>
  <c r="V313" i="1"/>
  <c r="Q314" i="1" s="1"/>
  <c r="W314" i="1" s="1"/>
  <c r="R313" i="1"/>
  <c r="M71" i="1" l="1"/>
  <c r="L71" i="1" s="1"/>
  <c r="J72" i="1" s="1"/>
  <c r="K72" i="1" s="1"/>
  <c r="AQ72" i="1" s="1"/>
  <c r="G71" i="1"/>
  <c r="I71" i="1"/>
  <c r="V314" i="1"/>
  <c r="Q315" i="1" s="1"/>
  <c r="W315" i="1" s="1"/>
  <c r="R314" i="1"/>
  <c r="AO71" i="1" l="1"/>
  <c r="B72" i="1"/>
  <c r="V315" i="1"/>
  <c r="Q316" i="1" s="1"/>
  <c r="W316" i="1" s="1"/>
  <c r="R315" i="1"/>
  <c r="AF72" i="1" l="1"/>
  <c r="C72" i="1"/>
  <c r="AG72" i="1"/>
  <c r="AH72" i="1" s="1"/>
  <c r="V316" i="1"/>
  <c r="Q317" i="1" s="1"/>
  <c r="W317" i="1" s="1"/>
  <c r="R316" i="1"/>
  <c r="D72" i="1" l="1"/>
  <c r="E72" i="1" s="1"/>
  <c r="S72" i="1"/>
  <c r="T72" i="1" s="1"/>
  <c r="U72" i="1" s="1"/>
  <c r="AK72" i="1"/>
  <c r="AL72" i="1" s="1"/>
  <c r="AI72" i="1"/>
  <c r="AJ72" i="1" s="1"/>
  <c r="AM72" i="1"/>
  <c r="AN72" i="1" s="1"/>
  <c r="V317" i="1"/>
  <c r="Q318" i="1" s="1"/>
  <c r="W318" i="1" s="1"/>
  <c r="R317" i="1"/>
  <c r="AP72" i="1" l="1"/>
  <c r="H72" i="1"/>
  <c r="F72" i="1"/>
  <c r="V318" i="1"/>
  <c r="Q319" i="1" s="1"/>
  <c r="W319" i="1" s="1"/>
  <c r="R318" i="1"/>
  <c r="M72" i="1" l="1"/>
  <c r="L72" i="1" s="1"/>
  <c r="J73" i="1" s="1"/>
  <c r="K73" i="1" s="1"/>
  <c r="AQ73" i="1" s="1"/>
  <c r="I72" i="1"/>
  <c r="G72" i="1"/>
  <c r="V319" i="1"/>
  <c r="Q320" i="1" s="1"/>
  <c r="W320" i="1" s="1"/>
  <c r="R319" i="1"/>
  <c r="AO72" i="1" l="1"/>
  <c r="B73" i="1"/>
  <c r="V320" i="1"/>
  <c r="Q321" i="1" s="1"/>
  <c r="W321" i="1" s="1"/>
  <c r="R320" i="1"/>
  <c r="AF73" i="1" l="1"/>
  <c r="C73" i="1"/>
  <c r="AG73" i="1"/>
  <c r="AH73" i="1" s="1"/>
  <c r="V321" i="1"/>
  <c r="Q322" i="1" s="1"/>
  <c r="W322" i="1" s="1"/>
  <c r="R321" i="1"/>
  <c r="AK73" i="1" l="1"/>
  <c r="AL73" i="1" s="1"/>
  <c r="AM73" i="1"/>
  <c r="AN73" i="1" s="1"/>
  <c r="AI73" i="1"/>
  <c r="AJ73" i="1" s="1"/>
  <c r="D73" i="1"/>
  <c r="E73" i="1" s="1"/>
  <c r="S73" i="1"/>
  <c r="T73" i="1" s="1"/>
  <c r="U73" i="1" s="1"/>
  <c r="V322" i="1"/>
  <c r="Q323" i="1" s="1"/>
  <c r="W323" i="1" s="1"/>
  <c r="R322" i="1"/>
  <c r="AP73" i="1" l="1"/>
  <c r="H73" i="1"/>
  <c r="F73" i="1"/>
  <c r="V323" i="1"/>
  <c r="Q324" i="1" s="1"/>
  <c r="W324" i="1" s="1"/>
  <c r="R323" i="1"/>
  <c r="M73" i="1" l="1"/>
  <c r="L73" i="1" s="1"/>
  <c r="J74" i="1" s="1"/>
  <c r="K74" i="1" s="1"/>
  <c r="AQ74" i="1" s="1"/>
  <c r="I73" i="1"/>
  <c r="G73" i="1"/>
  <c r="V324" i="1"/>
  <c r="Q325" i="1" s="1"/>
  <c r="W325" i="1" s="1"/>
  <c r="R324" i="1"/>
  <c r="AO73" i="1" l="1"/>
  <c r="B74" i="1"/>
  <c r="V325" i="1"/>
  <c r="Q326" i="1" s="1"/>
  <c r="W326" i="1" s="1"/>
  <c r="R325" i="1"/>
  <c r="AF74" i="1" l="1"/>
  <c r="C74" i="1"/>
  <c r="AG74" i="1"/>
  <c r="AH74" i="1" s="1"/>
  <c r="V326" i="1"/>
  <c r="Q327" i="1" s="1"/>
  <c r="W327" i="1" s="1"/>
  <c r="R326" i="1"/>
  <c r="AI74" i="1" l="1"/>
  <c r="AJ74" i="1" s="1"/>
  <c r="AM74" i="1"/>
  <c r="AN74" i="1" s="1"/>
  <c r="AK74" i="1"/>
  <c r="AL74" i="1" s="1"/>
  <c r="D74" i="1"/>
  <c r="E74" i="1" s="1"/>
  <c r="S74" i="1"/>
  <c r="T74" i="1" s="1"/>
  <c r="U74" i="1" s="1"/>
  <c r="V327" i="1"/>
  <c r="Q328" i="1" s="1"/>
  <c r="W328" i="1" s="1"/>
  <c r="R327" i="1"/>
  <c r="AP74" i="1" l="1"/>
  <c r="H74" i="1"/>
  <c r="F74" i="1"/>
  <c r="V328" i="1"/>
  <c r="Q329" i="1" s="1"/>
  <c r="W329" i="1" s="1"/>
  <c r="R328" i="1"/>
  <c r="M74" i="1" l="1"/>
  <c r="L74" i="1" s="1"/>
  <c r="J75" i="1" s="1"/>
  <c r="K75" i="1" s="1"/>
  <c r="AQ75" i="1" s="1"/>
  <c r="I74" i="1"/>
  <c r="G74" i="1"/>
  <c r="V329" i="1"/>
  <c r="Q330" i="1" s="1"/>
  <c r="W330" i="1" s="1"/>
  <c r="R329" i="1"/>
  <c r="AO74" i="1" l="1"/>
  <c r="B75" i="1"/>
  <c r="V330" i="1"/>
  <c r="Q331" i="1" s="1"/>
  <c r="W331" i="1" s="1"/>
  <c r="R330" i="1"/>
  <c r="AF75" i="1" l="1"/>
  <c r="C75" i="1"/>
  <c r="AG75" i="1"/>
  <c r="AH75" i="1" s="1"/>
  <c r="V331" i="1"/>
  <c r="Q332" i="1" s="1"/>
  <c r="W332" i="1" s="1"/>
  <c r="R331" i="1"/>
  <c r="D75" i="1" l="1"/>
  <c r="E75" i="1" s="1"/>
  <c r="S75" i="1"/>
  <c r="T75" i="1" s="1"/>
  <c r="U75" i="1" s="1"/>
  <c r="AM75" i="1"/>
  <c r="AN75" i="1" s="1"/>
  <c r="AK75" i="1"/>
  <c r="AL75" i="1" s="1"/>
  <c r="AI75" i="1"/>
  <c r="AJ75" i="1" s="1"/>
  <c r="V332" i="1"/>
  <c r="Q333" i="1" s="1"/>
  <c r="W333" i="1" s="1"/>
  <c r="R332" i="1"/>
  <c r="AP75" i="1" l="1"/>
  <c r="H75" i="1"/>
  <c r="F75" i="1"/>
  <c r="V333" i="1"/>
  <c r="Q334" i="1" s="1"/>
  <c r="W334" i="1" s="1"/>
  <c r="R333" i="1"/>
  <c r="M75" i="1" l="1"/>
  <c r="L75" i="1" s="1"/>
  <c r="J76" i="1" s="1"/>
  <c r="K76" i="1" s="1"/>
  <c r="AQ76" i="1" s="1"/>
  <c r="I75" i="1"/>
  <c r="G75" i="1"/>
  <c r="V334" i="1"/>
  <c r="Q335" i="1" s="1"/>
  <c r="W335" i="1" s="1"/>
  <c r="R334" i="1"/>
  <c r="AO75" i="1" l="1"/>
  <c r="B76" i="1"/>
  <c r="V335" i="1"/>
  <c r="Q336" i="1" s="1"/>
  <c r="W336" i="1" s="1"/>
  <c r="R335" i="1"/>
  <c r="AG76" i="1" l="1"/>
  <c r="AH76" i="1" s="1"/>
  <c r="AF76" i="1"/>
  <c r="C76" i="1"/>
  <c r="V336" i="1"/>
  <c r="Q337" i="1" s="1"/>
  <c r="W337" i="1" s="1"/>
  <c r="R336" i="1"/>
  <c r="S76" i="1" l="1"/>
  <c r="T76" i="1" s="1"/>
  <c r="U76" i="1" s="1"/>
  <c r="D76" i="1"/>
  <c r="E76" i="1" s="1"/>
  <c r="AM76" i="1"/>
  <c r="AN76" i="1" s="1"/>
  <c r="AI76" i="1"/>
  <c r="AJ76" i="1" s="1"/>
  <c r="AK76" i="1"/>
  <c r="AL76" i="1" s="1"/>
  <c r="V337" i="1"/>
  <c r="Q338" i="1" s="1"/>
  <c r="W338" i="1" s="1"/>
  <c r="R337" i="1"/>
  <c r="AP76" i="1" l="1"/>
  <c r="H76" i="1"/>
  <c r="F76" i="1"/>
  <c r="V338" i="1"/>
  <c r="Q339" i="1" s="1"/>
  <c r="W339" i="1" s="1"/>
  <c r="R338" i="1"/>
  <c r="M76" i="1" l="1"/>
  <c r="L76" i="1" s="1"/>
  <c r="J77" i="1" s="1"/>
  <c r="K77" i="1" s="1"/>
  <c r="AQ77" i="1" s="1"/>
  <c r="I76" i="1"/>
  <c r="G76" i="1"/>
  <c r="V339" i="1"/>
  <c r="Q340" i="1" s="1"/>
  <c r="W340" i="1" s="1"/>
  <c r="R339" i="1"/>
  <c r="AO76" i="1" l="1"/>
  <c r="B77" i="1"/>
  <c r="V340" i="1"/>
  <c r="Q341" i="1" s="1"/>
  <c r="W341" i="1" s="1"/>
  <c r="R340" i="1"/>
  <c r="AF77" i="1" l="1"/>
  <c r="C77" i="1"/>
  <c r="AG77" i="1"/>
  <c r="AH77" i="1" s="1"/>
  <c r="V341" i="1"/>
  <c r="Q342" i="1" s="1"/>
  <c r="W342" i="1" s="1"/>
  <c r="R341" i="1"/>
  <c r="AK77" i="1" l="1"/>
  <c r="AL77" i="1" s="1"/>
  <c r="AM77" i="1"/>
  <c r="AN77" i="1" s="1"/>
  <c r="AI77" i="1"/>
  <c r="AJ77" i="1" s="1"/>
  <c r="D77" i="1"/>
  <c r="E77" i="1" s="1"/>
  <c r="S77" i="1"/>
  <c r="T77" i="1" s="1"/>
  <c r="U77" i="1" s="1"/>
  <c r="V342" i="1"/>
  <c r="Q343" i="1" s="1"/>
  <c r="W343" i="1" s="1"/>
  <c r="R342" i="1"/>
  <c r="H77" i="1" l="1"/>
  <c r="F77" i="1"/>
  <c r="AP77" i="1"/>
  <c r="V343" i="1"/>
  <c r="Q344" i="1" s="1"/>
  <c r="W344" i="1" s="1"/>
  <c r="R343" i="1"/>
  <c r="M77" i="1" l="1"/>
  <c r="L77" i="1" s="1"/>
  <c r="J78" i="1" s="1"/>
  <c r="K78" i="1" s="1"/>
  <c r="AQ78" i="1" s="1"/>
  <c r="G77" i="1"/>
  <c r="I77" i="1"/>
  <c r="V344" i="1"/>
  <c r="Q345" i="1" s="1"/>
  <c r="W345" i="1" s="1"/>
  <c r="R344" i="1"/>
  <c r="AO77" i="1" l="1"/>
  <c r="B78" i="1"/>
  <c r="V345" i="1"/>
  <c r="Q346" i="1" s="1"/>
  <c r="W346" i="1" s="1"/>
  <c r="R345" i="1"/>
  <c r="C78" i="1" l="1"/>
  <c r="AF78" i="1"/>
  <c r="AG78" i="1"/>
  <c r="AH78" i="1" s="1"/>
  <c r="V346" i="1"/>
  <c r="Q347" i="1" s="1"/>
  <c r="W347" i="1" s="1"/>
  <c r="R346" i="1"/>
  <c r="AI78" i="1" l="1"/>
  <c r="AJ78" i="1" s="1"/>
  <c r="AM78" i="1"/>
  <c r="AN78" i="1" s="1"/>
  <c r="AK78" i="1"/>
  <c r="AL78" i="1" s="1"/>
  <c r="S78" i="1"/>
  <c r="T78" i="1" s="1"/>
  <c r="U78" i="1" s="1"/>
  <c r="D78" i="1"/>
  <c r="E78" i="1" s="1"/>
  <c r="V347" i="1"/>
  <c r="Q348" i="1" s="1"/>
  <c r="W348" i="1" s="1"/>
  <c r="R347" i="1"/>
  <c r="H78" i="1" l="1"/>
  <c r="F78" i="1"/>
  <c r="AP78" i="1"/>
  <c r="V348" i="1"/>
  <c r="Q349" i="1" s="1"/>
  <c r="W349" i="1" s="1"/>
  <c r="R348" i="1"/>
  <c r="M78" i="1" l="1"/>
  <c r="L78" i="1" s="1"/>
  <c r="J79" i="1" s="1"/>
  <c r="K79" i="1" s="1"/>
  <c r="AQ79" i="1" s="1"/>
  <c r="I78" i="1"/>
  <c r="G78" i="1"/>
  <c r="V349" i="1"/>
  <c r="Q350" i="1" s="1"/>
  <c r="W350" i="1" s="1"/>
  <c r="R349" i="1"/>
  <c r="AO78" i="1" l="1"/>
  <c r="B79" i="1"/>
  <c r="V350" i="1"/>
  <c r="Q351" i="1" s="1"/>
  <c r="W351" i="1" s="1"/>
  <c r="R350" i="1"/>
  <c r="S350" i="1" s="1"/>
  <c r="AF79" i="1" l="1"/>
  <c r="AG79" i="1"/>
  <c r="AH79" i="1" s="1"/>
  <c r="C79" i="1"/>
  <c r="T350" i="1"/>
  <c r="U350" i="1" s="1"/>
  <c r="V351" i="1"/>
  <c r="Q352" i="1" s="1"/>
  <c r="W352" i="1" s="1"/>
  <c r="R351" i="1"/>
  <c r="S351" i="1" s="1"/>
  <c r="AI79" i="1" l="1"/>
  <c r="AJ79" i="1" s="1"/>
  <c r="AM79" i="1"/>
  <c r="AN79" i="1" s="1"/>
  <c r="AK79" i="1"/>
  <c r="AL79" i="1" s="1"/>
  <c r="D79" i="1"/>
  <c r="E79" i="1" s="1"/>
  <c r="S79" i="1"/>
  <c r="T79" i="1" s="1"/>
  <c r="U79" i="1" s="1"/>
  <c r="T351" i="1"/>
  <c r="U351" i="1" s="1"/>
  <c r="V352" i="1"/>
  <c r="Q353" i="1" s="1"/>
  <c r="W353" i="1" s="1"/>
  <c r="R352" i="1"/>
  <c r="S352" i="1" s="1"/>
  <c r="H79" i="1" l="1"/>
  <c r="F79" i="1"/>
  <c r="AP79" i="1"/>
  <c r="T352" i="1"/>
  <c r="U352" i="1" s="1"/>
  <c r="V353" i="1"/>
  <c r="Q354" i="1" s="1"/>
  <c r="W354" i="1" s="1"/>
  <c r="R353" i="1"/>
  <c r="S353" i="1" s="1"/>
  <c r="M79" i="1" l="1"/>
  <c r="L79" i="1" s="1"/>
  <c r="J80" i="1" s="1"/>
  <c r="K80" i="1" s="1"/>
  <c r="AQ80" i="1" s="1"/>
  <c r="I79" i="1"/>
  <c r="G79" i="1"/>
  <c r="T353" i="1"/>
  <c r="U353" i="1" s="1"/>
  <c r="V354" i="1"/>
  <c r="Q355" i="1" s="1"/>
  <c r="W355" i="1" s="1"/>
  <c r="R354" i="1"/>
  <c r="S354" i="1" s="1"/>
  <c r="AO79" i="1" l="1"/>
  <c r="B80" i="1"/>
  <c r="T354" i="1"/>
  <c r="U354" i="1" s="1"/>
  <c r="V355" i="1"/>
  <c r="Q356" i="1" s="1"/>
  <c r="W356" i="1" s="1"/>
  <c r="R355" i="1"/>
  <c r="S355" i="1" s="1"/>
  <c r="AG80" i="1" l="1"/>
  <c r="AH80" i="1" s="1"/>
  <c r="C80" i="1"/>
  <c r="AF80" i="1"/>
  <c r="T355" i="1"/>
  <c r="U355" i="1" s="1"/>
  <c r="V356" i="1"/>
  <c r="Q357" i="1" s="1"/>
  <c r="W357" i="1" s="1"/>
  <c r="R356" i="1"/>
  <c r="S356" i="1" s="1"/>
  <c r="D80" i="1" l="1"/>
  <c r="E80" i="1" s="1"/>
  <c r="S80" i="1"/>
  <c r="T80" i="1" s="1"/>
  <c r="U80" i="1" s="1"/>
  <c r="AK80" i="1"/>
  <c r="AL80" i="1" s="1"/>
  <c r="AM80" i="1"/>
  <c r="AN80" i="1" s="1"/>
  <c r="AI80" i="1"/>
  <c r="AJ80" i="1" s="1"/>
  <c r="T356" i="1"/>
  <c r="U356" i="1" s="1"/>
  <c r="V357" i="1"/>
  <c r="Q358" i="1" s="1"/>
  <c r="W358" i="1" s="1"/>
  <c r="R357" i="1"/>
  <c r="S357" i="1" s="1"/>
  <c r="AP80" i="1" l="1"/>
  <c r="H80" i="1"/>
  <c r="F80" i="1"/>
  <c r="T357" i="1"/>
  <c r="U357" i="1" s="1"/>
  <c r="V358" i="1"/>
  <c r="Q359" i="1" s="1"/>
  <c r="W359" i="1" s="1"/>
  <c r="R358" i="1"/>
  <c r="S358" i="1" s="1"/>
  <c r="M80" i="1" l="1"/>
  <c r="L80" i="1" s="1"/>
  <c r="J81" i="1" s="1"/>
  <c r="K81" i="1" s="1"/>
  <c r="AQ81" i="1" s="1"/>
  <c r="I80" i="1"/>
  <c r="G80" i="1"/>
  <c r="T358" i="1"/>
  <c r="U358" i="1" s="1"/>
  <c r="V359" i="1"/>
  <c r="Q360" i="1" s="1"/>
  <c r="W360" i="1" s="1"/>
  <c r="R359" i="1"/>
  <c r="S359" i="1" s="1"/>
  <c r="AO80" i="1" l="1"/>
  <c r="B81" i="1"/>
  <c r="T359" i="1"/>
  <c r="U359" i="1" s="1"/>
  <c r="V360" i="1"/>
  <c r="Q361" i="1" s="1"/>
  <c r="W361" i="1" s="1"/>
  <c r="R360" i="1"/>
  <c r="S360" i="1" s="1"/>
  <c r="AG81" i="1" l="1"/>
  <c r="AH81" i="1" s="1"/>
  <c r="C81" i="1"/>
  <c r="AF81" i="1"/>
  <c r="T360" i="1"/>
  <c r="U360" i="1" s="1"/>
  <c r="V361" i="1"/>
  <c r="Q362" i="1" s="1"/>
  <c r="W362" i="1" s="1"/>
  <c r="R361" i="1"/>
  <c r="S361" i="1" s="1"/>
  <c r="S81" i="1" l="1"/>
  <c r="T81" i="1" s="1"/>
  <c r="U81" i="1" s="1"/>
  <c r="D81" i="1"/>
  <c r="E81" i="1" s="1"/>
  <c r="AM81" i="1"/>
  <c r="AN81" i="1" s="1"/>
  <c r="AI81" i="1"/>
  <c r="AJ81" i="1" s="1"/>
  <c r="AK81" i="1"/>
  <c r="AL81" i="1" s="1"/>
  <c r="T361" i="1"/>
  <c r="U361" i="1" s="1"/>
  <c r="V362" i="1"/>
  <c r="Q363" i="1" s="1"/>
  <c r="W363" i="1" s="1"/>
  <c r="R362" i="1"/>
  <c r="S362" i="1" s="1"/>
  <c r="H81" i="1" l="1"/>
  <c r="F81" i="1"/>
  <c r="AP81" i="1"/>
  <c r="T362" i="1"/>
  <c r="U362" i="1" s="1"/>
  <c r="V363" i="1"/>
  <c r="Q364" i="1" s="1"/>
  <c r="W364" i="1" s="1"/>
  <c r="R363" i="1"/>
  <c r="S363" i="1" s="1"/>
  <c r="M81" i="1" l="1"/>
  <c r="L81" i="1" s="1"/>
  <c r="J82" i="1" s="1"/>
  <c r="K82" i="1" s="1"/>
  <c r="AQ82" i="1" s="1"/>
  <c r="I81" i="1"/>
  <c r="G81" i="1"/>
  <c r="T363" i="1"/>
  <c r="U363" i="1" s="1"/>
  <c r="V364" i="1"/>
  <c r="Q365" i="1" s="1"/>
  <c r="W365" i="1" s="1"/>
  <c r="R364" i="1"/>
  <c r="S364" i="1" s="1"/>
  <c r="AO81" i="1" l="1"/>
  <c r="B82" i="1"/>
  <c r="T364" i="1"/>
  <c r="U364" i="1" s="1"/>
  <c r="V365" i="1"/>
  <c r="Q366" i="1" s="1"/>
  <c r="W366" i="1" s="1"/>
  <c r="R365" i="1"/>
  <c r="S365" i="1" s="1"/>
  <c r="AF82" i="1" l="1"/>
  <c r="C82" i="1"/>
  <c r="AG82" i="1"/>
  <c r="AH82" i="1" s="1"/>
  <c r="T365" i="1"/>
  <c r="U365" i="1" s="1"/>
  <c r="V366" i="1"/>
  <c r="Q367" i="1" s="1"/>
  <c r="W367" i="1" s="1"/>
  <c r="R366" i="1"/>
  <c r="S366" i="1" s="1"/>
  <c r="D82" i="1" l="1"/>
  <c r="E82" i="1" s="1"/>
  <c r="S82" i="1"/>
  <c r="T82" i="1" s="1"/>
  <c r="U82" i="1" s="1"/>
  <c r="AI82" i="1"/>
  <c r="AJ82" i="1" s="1"/>
  <c r="AM82" i="1"/>
  <c r="AN82" i="1" s="1"/>
  <c r="AK82" i="1"/>
  <c r="AL82" i="1" s="1"/>
  <c r="T366" i="1"/>
  <c r="U366" i="1" s="1"/>
  <c r="V367" i="1"/>
  <c r="Q368" i="1" s="1"/>
  <c r="W368" i="1" s="1"/>
  <c r="R367" i="1"/>
  <c r="S367" i="1" s="1"/>
  <c r="AP82" i="1" l="1"/>
  <c r="H82" i="1"/>
  <c r="F82" i="1"/>
  <c r="T367" i="1"/>
  <c r="U367" i="1" s="1"/>
  <c r="V368" i="1"/>
  <c r="Q369" i="1" s="1"/>
  <c r="W369" i="1" s="1"/>
  <c r="R368" i="1"/>
  <c r="S368" i="1" s="1"/>
  <c r="M82" i="1" l="1"/>
  <c r="L82" i="1" s="1"/>
  <c r="J83" i="1" s="1"/>
  <c r="K83" i="1" s="1"/>
  <c r="AQ83" i="1" s="1"/>
  <c r="G82" i="1"/>
  <c r="I82" i="1"/>
  <c r="T368" i="1"/>
  <c r="U368" i="1" s="1"/>
  <c r="V369" i="1"/>
  <c r="Q370" i="1" s="1"/>
  <c r="W370" i="1" s="1"/>
  <c r="R369" i="1"/>
  <c r="S369" i="1" s="1"/>
  <c r="AO82" i="1" l="1"/>
  <c r="B83" i="1"/>
  <c r="T369" i="1"/>
  <c r="U369" i="1" s="1"/>
  <c r="V370" i="1"/>
  <c r="Q371" i="1" s="1"/>
  <c r="W371" i="1" s="1"/>
  <c r="R370" i="1"/>
  <c r="S370" i="1" s="1"/>
  <c r="AF83" i="1" l="1"/>
  <c r="C83" i="1"/>
  <c r="AG83" i="1"/>
  <c r="AH83" i="1" s="1"/>
  <c r="T370" i="1"/>
  <c r="U370" i="1" s="1"/>
  <c r="V371" i="1"/>
  <c r="R371" i="1"/>
  <c r="S371" i="1" s="1"/>
  <c r="W372" i="1"/>
  <c r="AI83" i="1" l="1"/>
  <c r="AJ83" i="1" s="1"/>
  <c r="AK83" i="1"/>
  <c r="AL83" i="1" s="1"/>
  <c r="AM83" i="1"/>
  <c r="AN83" i="1" s="1"/>
  <c r="D83" i="1"/>
  <c r="E83" i="1" s="1"/>
  <c r="S83" i="1"/>
  <c r="T83" i="1" s="1"/>
  <c r="U83" i="1" s="1"/>
  <c r="T371" i="1"/>
  <c r="U371" i="1" s="1"/>
  <c r="AO371" i="1"/>
  <c r="V372" i="1"/>
  <c r="H83" i="1" l="1"/>
  <c r="F83" i="1"/>
  <c r="AP83" i="1"/>
  <c r="M83" i="1" l="1"/>
  <c r="L83" i="1" s="1"/>
  <c r="J84" i="1" s="1"/>
  <c r="K84" i="1" s="1"/>
  <c r="AQ84" i="1" s="1"/>
  <c r="G83" i="1"/>
  <c r="I83" i="1"/>
  <c r="AO83" i="1" l="1"/>
  <c r="B84" i="1"/>
  <c r="AG84" i="1" l="1"/>
  <c r="AH84" i="1" s="1"/>
  <c r="AF84" i="1"/>
  <c r="C84" i="1"/>
  <c r="S84" i="1" l="1"/>
  <c r="T84" i="1" s="1"/>
  <c r="U84" i="1" s="1"/>
  <c r="D84" i="1"/>
  <c r="E84" i="1" s="1"/>
  <c r="AI84" i="1"/>
  <c r="AJ84" i="1" s="1"/>
  <c r="AM84" i="1"/>
  <c r="AN84" i="1" s="1"/>
  <c r="AK84" i="1"/>
  <c r="AL84" i="1" s="1"/>
  <c r="AP84" i="1" l="1"/>
  <c r="H84" i="1"/>
  <c r="F84" i="1"/>
  <c r="M84" i="1" l="1"/>
  <c r="L84" i="1" s="1"/>
  <c r="J85" i="1" s="1"/>
  <c r="K85" i="1" s="1"/>
  <c r="AQ85" i="1" s="1"/>
  <c r="I84" i="1"/>
  <c r="G84" i="1"/>
  <c r="AO84" i="1" l="1"/>
  <c r="B85" i="1"/>
  <c r="AF85" i="1" l="1"/>
  <c r="C85" i="1"/>
  <c r="AG85" i="1"/>
  <c r="AH85" i="1" s="1"/>
  <c r="D85" i="1" l="1"/>
  <c r="E85" i="1" s="1"/>
  <c r="S85" i="1"/>
  <c r="T85" i="1" s="1"/>
  <c r="U85" i="1" s="1"/>
  <c r="AI85" i="1"/>
  <c r="AJ85" i="1" s="1"/>
  <c r="AK85" i="1"/>
  <c r="AL85" i="1" s="1"/>
  <c r="AM85" i="1"/>
  <c r="AN85" i="1" s="1"/>
  <c r="AP85" i="1" l="1"/>
  <c r="H85" i="1"/>
  <c r="F85" i="1"/>
  <c r="M85" i="1" l="1"/>
  <c r="L85" i="1" s="1"/>
  <c r="J86" i="1" s="1"/>
  <c r="K86" i="1" s="1"/>
  <c r="AQ86" i="1" s="1"/>
  <c r="I85" i="1"/>
  <c r="G85" i="1"/>
  <c r="AO85" i="1" l="1"/>
  <c r="B86" i="1"/>
  <c r="AG86" i="1" l="1"/>
  <c r="AH86" i="1" s="1"/>
  <c r="AF86" i="1"/>
  <c r="C86" i="1"/>
  <c r="S86" i="1" l="1"/>
  <c r="T86" i="1" s="1"/>
  <c r="U86" i="1" s="1"/>
  <c r="D86" i="1"/>
  <c r="E86" i="1" s="1"/>
  <c r="AK86" i="1"/>
  <c r="AL86" i="1" s="1"/>
  <c r="AM86" i="1"/>
  <c r="AN86" i="1" s="1"/>
  <c r="AI86" i="1"/>
  <c r="AJ86" i="1" s="1"/>
  <c r="AP86" i="1" l="1"/>
  <c r="H86" i="1"/>
  <c r="F86" i="1"/>
  <c r="M86" i="1" l="1"/>
  <c r="L86" i="1" s="1"/>
  <c r="J87" i="1" s="1"/>
  <c r="K87" i="1" s="1"/>
  <c r="AQ87" i="1" s="1"/>
  <c r="G86" i="1"/>
  <c r="I86" i="1"/>
  <c r="AO86" i="1" l="1"/>
  <c r="B87" i="1"/>
  <c r="AF87" i="1" l="1"/>
  <c r="AG87" i="1"/>
  <c r="AH87" i="1" s="1"/>
  <c r="C87" i="1"/>
  <c r="AK87" i="1" l="1"/>
  <c r="AL87" i="1" s="1"/>
  <c r="AI87" i="1"/>
  <c r="AJ87" i="1" s="1"/>
  <c r="AM87" i="1"/>
  <c r="AN87" i="1" s="1"/>
  <c r="D87" i="1"/>
  <c r="E87" i="1" s="1"/>
  <c r="S87" i="1"/>
  <c r="T87" i="1" s="1"/>
  <c r="U87" i="1" s="1"/>
  <c r="H87" i="1" l="1"/>
  <c r="F87" i="1"/>
  <c r="AP87" i="1"/>
  <c r="M87" i="1" l="1"/>
  <c r="L87" i="1" s="1"/>
  <c r="J88" i="1" s="1"/>
  <c r="K88" i="1" s="1"/>
  <c r="AQ88" i="1" s="1"/>
  <c r="I87" i="1"/>
  <c r="G87" i="1"/>
  <c r="AO87" i="1" l="1"/>
  <c r="B88" i="1"/>
  <c r="AF88" i="1" l="1"/>
  <c r="C88" i="1"/>
  <c r="AG88" i="1"/>
  <c r="AH88" i="1" s="1"/>
  <c r="AI88" i="1" l="1"/>
  <c r="AJ88" i="1" s="1"/>
  <c r="AM88" i="1"/>
  <c r="AN88" i="1" s="1"/>
  <c r="AK88" i="1"/>
  <c r="AL88" i="1" s="1"/>
  <c r="D88" i="1"/>
  <c r="E88" i="1" s="1"/>
  <c r="S88" i="1"/>
  <c r="T88" i="1" s="1"/>
  <c r="U88" i="1" s="1"/>
  <c r="AP88" i="1" l="1"/>
  <c r="H88" i="1"/>
  <c r="F88" i="1"/>
  <c r="M88" i="1" l="1"/>
  <c r="L88" i="1" s="1"/>
  <c r="J89" i="1" s="1"/>
  <c r="K89" i="1" s="1"/>
  <c r="AQ89" i="1" s="1"/>
  <c r="G88" i="1"/>
  <c r="I88" i="1"/>
  <c r="AO88" i="1" l="1"/>
  <c r="B89" i="1"/>
  <c r="AG89" i="1" l="1"/>
  <c r="AH89" i="1" s="1"/>
  <c r="AF89" i="1"/>
  <c r="C89" i="1"/>
  <c r="S89" i="1" l="1"/>
  <c r="T89" i="1" s="1"/>
  <c r="U89" i="1" s="1"/>
  <c r="D89" i="1"/>
  <c r="E89" i="1" s="1"/>
  <c r="AM89" i="1"/>
  <c r="AN89" i="1" s="1"/>
  <c r="AK89" i="1"/>
  <c r="AL89" i="1" s="1"/>
  <c r="AI89" i="1"/>
  <c r="AJ89" i="1" s="1"/>
  <c r="AP89" i="1" l="1"/>
  <c r="H89" i="1"/>
  <c r="F89" i="1"/>
  <c r="M89" i="1" l="1"/>
  <c r="L89" i="1" s="1"/>
  <c r="J90" i="1" s="1"/>
  <c r="K90" i="1" s="1"/>
  <c r="AQ90" i="1" s="1"/>
  <c r="G89" i="1"/>
  <c r="I89" i="1"/>
  <c r="AO89" i="1" l="1"/>
  <c r="B90" i="1"/>
  <c r="AF90" i="1" l="1"/>
  <c r="AG90" i="1"/>
  <c r="AH90" i="1" s="1"/>
  <c r="C90" i="1"/>
  <c r="AK90" i="1" l="1"/>
  <c r="AL90" i="1" s="1"/>
  <c r="AM90" i="1"/>
  <c r="AN90" i="1" s="1"/>
  <c r="AI90" i="1"/>
  <c r="AJ90" i="1" s="1"/>
  <c r="D90" i="1"/>
  <c r="E90" i="1" s="1"/>
  <c r="S90" i="1"/>
  <c r="T90" i="1" s="1"/>
  <c r="U90" i="1" s="1"/>
  <c r="AP90" i="1" l="1"/>
  <c r="H90" i="1"/>
  <c r="F90" i="1"/>
  <c r="M90" i="1" l="1"/>
  <c r="L90" i="1" s="1"/>
  <c r="J91" i="1" s="1"/>
  <c r="K91" i="1" s="1"/>
  <c r="AQ91" i="1" s="1"/>
  <c r="G90" i="1"/>
  <c r="I90" i="1"/>
  <c r="AO90" i="1" l="1"/>
  <c r="B91" i="1"/>
  <c r="C91" i="1" l="1"/>
  <c r="AF91" i="1"/>
  <c r="AG91" i="1"/>
  <c r="AH91" i="1" s="1"/>
  <c r="AM91" i="1" l="1"/>
  <c r="AN91" i="1" s="1"/>
  <c r="AI91" i="1"/>
  <c r="AJ91" i="1" s="1"/>
  <c r="AK91" i="1"/>
  <c r="AL91" i="1" s="1"/>
  <c r="D91" i="1"/>
  <c r="E91" i="1" s="1"/>
  <c r="S91" i="1"/>
  <c r="T91" i="1" s="1"/>
  <c r="U91" i="1" s="1"/>
  <c r="AP91" i="1" l="1"/>
  <c r="H91" i="1"/>
  <c r="F91" i="1"/>
  <c r="M91" i="1" l="1"/>
  <c r="L91" i="1" s="1"/>
  <c r="J92" i="1" s="1"/>
  <c r="K92" i="1" s="1"/>
  <c r="AQ92" i="1" s="1"/>
  <c r="I91" i="1"/>
  <c r="G91" i="1"/>
  <c r="AO91" i="1" l="1"/>
  <c r="B92" i="1"/>
  <c r="AG92" i="1" l="1"/>
  <c r="AH92" i="1" s="1"/>
  <c r="AF92" i="1"/>
  <c r="C92" i="1"/>
  <c r="S92" i="1" l="1"/>
  <c r="T92" i="1" s="1"/>
  <c r="U92" i="1" s="1"/>
  <c r="D92" i="1"/>
  <c r="E92" i="1" s="1"/>
  <c r="AK92" i="1"/>
  <c r="AL92" i="1" s="1"/>
  <c r="AI92" i="1"/>
  <c r="AJ92" i="1" s="1"/>
  <c r="AM92" i="1"/>
  <c r="AN92" i="1" s="1"/>
  <c r="AP92" i="1" l="1"/>
  <c r="H92" i="1"/>
  <c r="F92" i="1"/>
  <c r="M92" i="1" l="1"/>
  <c r="L92" i="1" s="1"/>
  <c r="J93" i="1" s="1"/>
  <c r="K93" i="1" s="1"/>
  <c r="AQ93" i="1" s="1"/>
  <c r="I92" i="1"/>
  <c r="G92" i="1"/>
  <c r="AO92" i="1" l="1"/>
  <c r="B93" i="1"/>
  <c r="AF93" i="1" l="1"/>
  <c r="C93" i="1"/>
  <c r="AG93" i="1"/>
  <c r="AH93" i="1" s="1"/>
  <c r="AI93" i="1" l="1"/>
  <c r="AJ93" i="1" s="1"/>
  <c r="AK93" i="1"/>
  <c r="AL93" i="1" s="1"/>
  <c r="AM93" i="1"/>
  <c r="AN93" i="1" s="1"/>
  <c r="D93" i="1"/>
  <c r="E93" i="1" s="1"/>
  <c r="S93" i="1"/>
  <c r="T93" i="1" s="1"/>
  <c r="U93" i="1" s="1"/>
  <c r="H93" i="1" l="1"/>
  <c r="F93" i="1"/>
  <c r="AP93" i="1"/>
  <c r="M93" i="1" l="1"/>
  <c r="L93" i="1" s="1"/>
  <c r="J94" i="1" s="1"/>
  <c r="K94" i="1" s="1"/>
  <c r="AQ94" i="1" s="1"/>
  <c r="I93" i="1"/>
  <c r="G93" i="1"/>
  <c r="AO93" i="1" l="1"/>
  <c r="B94" i="1"/>
  <c r="AF94" i="1" l="1"/>
  <c r="AG94" i="1"/>
  <c r="AH94" i="1" s="1"/>
  <c r="C94" i="1"/>
  <c r="AI94" i="1" l="1"/>
  <c r="AJ94" i="1" s="1"/>
  <c r="AK94" i="1"/>
  <c r="AL94" i="1" s="1"/>
  <c r="AM94" i="1"/>
  <c r="AN94" i="1" s="1"/>
  <c r="D94" i="1"/>
  <c r="E94" i="1" s="1"/>
  <c r="S94" i="1"/>
  <c r="T94" i="1" s="1"/>
  <c r="U94" i="1" s="1"/>
  <c r="H94" i="1" l="1"/>
  <c r="F94" i="1"/>
  <c r="AP94" i="1"/>
  <c r="M94" i="1" l="1"/>
  <c r="L94" i="1" s="1"/>
  <c r="J95" i="1" s="1"/>
  <c r="K95" i="1" s="1"/>
  <c r="AQ95" i="1" s="1"/>
  <c r="G94" i="1"/>
  <c r="I94" i="1"/>
  <c r="AO94" i="1" l="1"/>
  <c r="B95" i="1"/>
  <c r="C95" i="1" l="1"/>
  <c r="AG95" i="1"/>
  <c r="AH95" i="1" s="1"/>
  <c r="AF95" i="1"/>
  <c r="AM95" i="1" l="1"/>
  <c r="AN95" i="1" s="1"/>
  <c r="AI95" i="1"/>
  <c r="AJ95" i="1" s="1"/>
  <c r="AK95" i="1"/>
  <c r="AL95" i="1" s="1"/>
  <c r="D95" i="1"/>
  <c r="E95" i="1" s="1"/>
  <c r="S95" i="1"/>
  <c r="T95" i="1" s="1"/>
  <c r="U95" i="1" s="1"/>
  <c r="AP95" i="1" l="1"/>
  <c r="H95" i="1"/>
  <c r="F95" i="1"/>
  <c r="M95" i="1" l="1"/>
  <c r="L95" i="1" s="1"/>
  <c r="J96" i="1" s="1"/>
  <c r="K96" i="1" s="1"/>
  <c r="AQ96" i="1" s="1"/>
  <c r="I95" i="1"/>
  <c r="G95" i="1"/>
  <c r="AO95" i="1" l="1"/>
  <c r="B96" i="1"/>
  <c r="C96" i="1" l="1"/>
  <c r="AF96" i="1"/>
  <c r="AG96" i="1"/>
  <c r="AH96" i="1" s="1"/>
  <c r="AM96" i="1" l="1"/>
  <c r="AN96" i="1" s="1"/>
  <c r="AK96" i="1"/>
  <c r="AL96" i="1" s="1"/>
  <c r="AI96" i="1"/>
  <c r="AJ96" i="1" s="1"/>
  <c r="D96" i="1"/>
  <c r="E96" i="1" s="1"/>
  <c r="S96" i="1"/>
  <c r="T96" i="1" s="1"/>
  <c r="U96" i="1" s="1"/>
  <c r="H96" i="1" l="1"/>
  <c r="F96" i="1"/>
  <c r="AP96" i="1"/>
  <c r="M96" i="1" l="1"/>
  <c r="L96" i="1" s="1"/>
  <c r="J97" i="1" s="1"/>
  <c r="K97" i="1" s="1"/>
  <c r="AQ97" i="1" s="1"/>
  <c r="I96" i="1"/>
  <c r="G96" i="1"/>
  <c r="AO96" i="1" l="1"/>
  <c r="B97" i="1"/>
  <c r="AF97" i="1" l="1"/>
  <c r="AG97" i="1"/>
  <c r="AH97" i="1" s="1"/>
  <c r="C97" i="1"/>
  <c r="D97" i="1" l="1"/>
  <c r="E97" i="1" s="1"/>
  <c r="S97" i="1"/>
  <c r="T97" i="1" s="1"/>
  <c r="U97" i="1" s="1"/>
  <c r="AI97" i="1"/>
  <c r="AJ97" i="1" s="1"/>
  <c r="AK97" i="1"/>
  <c r="AL97" i="1" s="1"/>
  <c r="AM97" i="1"/>
  <c r="AN97" i="1" s="1"/>
  <c r="AP97" i="1" l="1"/>
  <c r="H97" i="1"/>
  <c r="F97" i="1"/>
  <c r="M97" i="1" l="1"/>
  <c r="L97" i="1" s="1"/>
  <c r="J98" i="1" s="1"/>
  <c r="K98" i="1" s="1"/>
  <c r="AQ98" i="1" s="1"/>
  <c r="G97" i="1"/>
  <c r="I97" i="1"/>
  <c r="AO97" i="1" l="1"/>
  <c r="B98" i="1"/>
  <c r="AG98" i="1" l="1"/>
  <c r="AH98" i="1" s="1"/>
  <c r="AF98" i="1"/>
  <c r="C98" i="1"/>
  <c r="D98" i="1" l="1"/>
  <c r="E98" i="1" s="1"/>
  <c r="S98" i="1"/>
  <c r="T98" i="1" s="1"/>
  <c r="U98" i="1" s="1"/>
  <c r="AI98" i="1"/>
  <c r="AJ98" i="1" s="1"/>
  <c r="AM98" i="1"/>
  <c r="AN98" i="1" s="1"/>
  <c r="AK98" i="1"/>
  <c r="AL98" i="1" s="1"/>
  <c r="AP98" i="1" l="1"/>
  <c r="H98" i="1"/>
  <c r="F98" i="1"/>
  <c r="M98" i="1" l="1"/>
  <c r="L98" i="1" s="1"/>
  <c r="J99" i="1" s="1"/>
  <c r="K99" i="1" s="1"/>
  <c r="AQ99" i="1" s="1"/>
  <c r="G98" i="1"/>
  <c r="I98" i="1"/>
  <c r="AO98" i="1" l="1"/>
  <c r="B99" i="1"/>
  <c r="AF99" i="1" l="1"/>
  <c r="C99" i="1"/>
  <c r="AG99" i="1"/>
  <c r="AH99" i="1" s="1"/>
  <c r="D99" i="1" l="1"/>
  <c r="E99" i="1" s="1"/>
  <c r="S99" i="1"/>
  <c r="T99" i="1" s="1"/>
  <c r="U99" i="1" s="1"/>
  <c r="AI99" i="1"/>
  <c r="AJ99" i="1" s="1"/>
  <c r="AM99" i="1"/>
  <c r="AN99" i="1" s="1"/>
  <c r="AK99" i="1"/>
  <c r="AL99" i="1" s="1"/>
  <c r="AP99" i="1" l="1"/>
  <c r="H99" i="1"/>
  <c r="F99" i="1"/>
  <c r="M99" i="1" l="1"/>
  <c r="L99" i="1" s="1"/>
  <c r="J100" i="1" s="1"/>
  <c r="K100" i="1" s="1"/>
  <c r="AQ100" i="1" s="1"/>
  <c r="I99" i="1"/>
  <c r="G99" i="1"/>
  <c r="AO99" i="1" l="1"/>
  <c r="B100" i="1"/>
  <c r="AF100" i="1" l="1"/>
  <c r="AG100" i="1"/>
  <c r="AH100" i="1" s="1"/>
  <c r="C100" i="1"/>
  <c r="D100" i="1" l="1"/>
  <c r="E100" i="1" s="1"/>
  <c r="S100" i="1"/>
  <c r="T100" i="1" s="1"/>
  <c r="U100" i="1" s="1"/>
  <c r="AM100" i="1"/>
  <c r="AN100" i="1" s="1"/>
  <c r="AI100" i="1"/>
  <c r="AJ100" i="1" s="1"/>
  <c r="AK100" i="1"/>
  <c r="AL100" i="1" s="1"/>
  <c r="AP100" i="1" l="1"/>
  <c r="H100" i="1"/>
  <c r="F100" i="1"/>
  <c r="M100" i="1" l="1"/>
  <c r="L100" i="1" s="1"/>
  <c r="J101" i="1" s="1"/>
  <c r="K101" i="1" s="1"/>
  <c r="AQ101" i="1" s="1"/>
  <c r="I100" i="1"/>
  <c r="G100" i="1"/>
  <c r="AO100" i="1" l="1"/>
  <c r="B101" i="1"/>
  <c r="AF101" i="1" l="1"/>
  <c r="AG101" i="1"/>
  <c r="AH101" i="1" s="1"/>
  <c r="C101" i="1"/>
  <c r="AM101" i="1" l="1"/>
  <c r="AN101" i="1" s="1"/>
  <c r="AI101" i="1"/>
  <c r="AJ101" i="1" s="1"/>
  <c r="AK101" i="1"/>
  <c r="AL101" i="1" s="1"/>
  <c r="S101" i="1"/>
  <c r="T101" i="1" s="1"/>
  <c r="U101" i="1" s="1"/>
  <c r="D101" i="1"/>
  <c r="E101" i="1" s="1"/>
  <c r="H101" i="1" l="1"/>
  <c r="F101" i="1"/>
  <c r="AP101" i="1"/>
  <c r="M101" i="1" l="1"/>
  <c r="L101" i="1" s="1"/>
  <c r="J102" i="1" s="1"/>
  <c r="K102" i="1" s="1"/>
  <c r="AQ102" i="1" s="1"/>
  <c r="G101" i="1"/>
  <c r="I101" i="1"/>
  <c r="AO101" i="1" l="1"/>
  <c r="B102" i="1"/>
  <c r="AF102" i="1" l="1"/>
  <c r="AG102" i="1"/>
  <c r="AH102" i="1" s="1"/>
  <c r="C102" i="1"/>
  <c r="D102" i="1" l="1"/>
  <c r="E102" i="1" s="1"/>
  <c r="S102" i="1"/>
  <c r="T102" i="1" s="1"/>
  <c r="U102" i="1" s="1"/>
  <c r="AK102" i="1"/>
  <c r="AL102" i="1" s="1"/>
  <c r="AM102" i="1"/>
  <c r="AN102" i="1" s="1"/>
  <c r="AI102" i="1"/>
  <c r="AJ102" i="1" s="1"/>
  <c r="AP102" i="1" l="1"/>
  <c r="H102" i="1"/>
  <c r="F102" i="1"/>
  <c r="G102" i="1" l="1"/>
  <c r="M102" i="1"/>
  <c r="L102" i="1" s="1"/>
  <c r="J103" i="1" s="1"/>
  <c r="K103" i="1" s="1"/>
  <c r="AQ103" i="1" s="1"/>
  <c r="I102" i="1"/>
  <c r="AO102" i="1" l="1"/>
  <c r="B103" i="1"/>
  <c r="AF103" i="1" l="1"/>
  <c r="AG103" i="1"/>
  <c r="AH103" i="1" s="1"/>
  <c r="C103" i="1"/>
  <c r="AK103" i="1" l="1"/>
  <c r="AL103" i="1" s="1"/>
  <c r="AI103" i="1"/>
  <c r="AJ103" i="1" s="1"/>
  <c r="AM103" i="1"/>
  <c r="AN103" i="1" s="1"/>
  <c r="D103" i="1"/>
  <c r="E103" i="1" s="1"/>
  <c r="S103" i="1"/>
  <c r="T103" i="1" s="1"/>
  <c r="U103" i="1" s="1"/>
  <c r="AP103" i="1" l="1"/>
  <c r="H103" i="1"/>
  <c r="F103" i="1"/>
  <c r="G103" i="1" l="1"/>
  <c r="M103" i="1"/>
  <c r="L103" i="1" s="1"/>
  <c r="J104" i="1" s="1"/>
  <c r="K104" i="1" s="1"/>
  <c r="AQ104" i="1" s="1"/>
  <c r="I103" i="1"/>
  <c r="AO103" i="1" l="1"/>
  <c r="B104" i="1"/>
  <c r="AF104" i="1" l="1"/>
  <c r="C104" i="1"/>
  <c r="AG104" i="1"/>
  <c r="AH104" i="1" s="1"/>
  <c r="D104" i="1" l="1"/>
  <c r="E104" i="1" s="1"/>
  <c r="S104" i="1"/>
  <c r="T104" i="1" s="1"/>
  <c r="U104" i="1" s="1"/>
  <c r="AM104" i="1"/>
  <c r="AN104" i="1" s="1"/>
  <c r="AI104" i="1"/>
  <c r="AJ104" i="1" s="1"/>
  <c r="AK104" i="1"/>
  <c r="AL104" i="1" s="1"/>
  <c r="AP104" i="1" l="1"/>
  <c r="H104" i="1"/>
  <c r="F104" i="1"/>
  <c r="M104" i="1" l="1"/>
  <c r="L104" i="1" s="1"/>
  <c r="J105" i="1" s="1"/>
  <c r="K105" i="1" s="1"/>
  <c r="AQ105" i="1" s="1"/>
  <c r="I104" i="1"/>
  <c r="G104" i="1"/>
  <c r="AO104" i="1" l="1"/>
  <c r="B105" i="1"/>
  <c r="AF105" i="1" l="1"/>
  <c r="AG105" i="1"/>
  <c r="AH105" i="1" s="1"/>
  <c r="C105" i="1"/>
  <c r="D105" i="1" l="1"/>
  <c r="E105" i="1" s="1"/>
  <c r="S105" i="1"/>
  <c r="T105" i="1" s="1"/>
  <c r="U105" i="1" s="1"/>
  <c r="AM105" i="1"/>
  <c r="AN105" i="1" s="1"/>
  <c r="AI105" i="1"/>
  <c r="AJ105" i="1" s="1"/>
  <c r="AK105" i="1"/>
  <c r="AL105" i="1" s="1"/>
  <c r="AP105" i="1" l="1"/>
  <c r="H105" i="1"/>
  <c r="F105" i="1"/>
  <c r="M105" i="1" l="1"/>
  <c r="L105" i="1" s="1"/>
  <c r="J106" i="1" s="1"/>
  <c r="K106" i="1" s="1"/>
  <c r="AQ106" i="1" s="1"/>
  <c r="G105" i="1"/>
  <c r="I105" i="1"/>
  <c r="AO105" i="1" l="1"/>
  <c r="B106" i="1"/>
  <c r="C106" i="1" l="1"/>
  <c r="AG106" i="1"/>
  <c r="AH106" i="1" s="1"/>
  <c r="AF106" i="1"/>
  <c r="AM106" i="1" l="1"/>
  <c r="AN106" i="1" s="1"/>
  <c r="AI106" i="1"/>
  <c r="AJ106" i="1" s="1"/>
  <c r="AK106" i="1"/>
  <c r="AL106" i="1" s="1"/>
  <c r="S106" i="1"/>
  <c r="T106" i="1" s="1"/>
  <c r="U106" i="1" s="1"/>
  <c r="D106" i="1"/>
  <c r="E106" i="1" s="1"/>
  <c r="H106" i="1" l="1"/>
  <c r="F106" i="1"/>
  <c r="AP106" i="1"/>
  <c r="M106" i="1" l="1"/>
  <c r="L106" i="1" s="1"/>
  <c r="J107" i="1" s="1"/>
  <c r="K107" i="1" s="1"/>
  <c r="AQ107" i="1" s="1"/>
  <c r="I106" i="1"/>
  <c r="G106" i="1"/>
  <c r="AO106" i="1" l="1"/>
  <c r="B107" i="1"/>
  <c r="AF107" i="1" l="1"/>
  <c r="C107" i="1"/>
  <c r="AG107" i="1"/>
  <c r="AH107" i="1" s="1"/>
  <c r="AI107" i="1" l="1"/>
  <c r="AJ107" i="1" s="1"/>
  <c r="AM107" i="1"/>
  <c r="AN107" i="1" s="1"/>
  <c r="AK107" i="1"/>
  <c r="AL107" i="1" s="1"/>
  <c r="D107" i="1"/>
  <c r="E107" i="1" s="1"/>
  <c r="S107" i="1"/>
  <c r="T107" i="1" s="1"/>
  <c r="U107" i="1" s="1"/>
  <c r="H107" i="1" l="1"/>
  <c r="F107" i="1"/>
  <c r="AP107" i="1"/>
  <c r="M107" i="1" l="1"/>
  <c r="L107" i="1" s="1"/>
  <c r="J108" i="1" s="1"/>
  <c r="K108" i="1" s="1"/>
  <c r="AQ108" i="1" s="1"/>
  <c r="I107" i="1"/>
  <c r="G107" i="1"/>
  <c r="AO107" i="1" l="1"/>
  <c r="B108" i="1"/>
  <c r="AF108" i="1" l="1"/>
  <c r="C108" i="1"/>
  <c r="AG108" i="1"/>
  <c r="AH108" i="1" s="1"/>
  <c r="AK108" i="1" l="1"/>
  <c r="AL108" i="1" s="1"/>
  <c r="AM108" i="1"/>
  <c r="AN108" i="1" s="1"/>
  <c r="AI108" i="1"/>
  <c r="AJ108" i="1" s="1"/>
  <c r="S108" i="1"/>
  <c r="T108" i="1" s="1"/>
  <c r="U108" i="1" s="1"/>
  <c r="D108" i="1"/>
  <c r="E108" i="1" s="1"/>
  <c r="AP108" i="1" l="1"/>
  <c r="H108" i="1"/>
  <c r="F108" i="1"/>
  <c r="M108" i="1" l="1"/>
  <c r="L108" i="1" s="1"/>
  <c r="J109" i="1" s="1"/>
  <c r="K109" i="1" s="1"/>
  <c r="AQ109" i="1" s="1"/>
  <c r="I108" i="1"/>
  <c r="G108" i="1"/>
  <c r="AO108" i="1" l="1"/>
  <c r="B109" i="1"/>
  <c r="AF109" i="1" l="1"/>
  <c r="C109" i="1"/>
  <c r="AG109" i="1"/>
  <c r="AH109" i="1" s="1"/>
  <c r="AK109" i="1" l="1"/>
  <c r="AL109" i="1" s="1"/>
  <c r="AM109" i="1"/>
  <c r="AN109" i="1" s="1"/>
  <c r="AI109" i="1"/>
  <c r="AJ109" i="1" s="1"/>
  <c r="D109" i="1"/>
  <c r="E109" i="1" s="1"/>
  <c r="S109" i="1"/>
  <c r="T109" i="1" s="1"/>
  <c r="U109" i="1" s="1"/>
  <c r="H109" i="1" l="1"/>
  <c r="F109" i="1"/>
  <c r="AP109" i="1"/>
  <c r="M109" i="1" l="1"/>
  <c r="L109" i="1" s="1"/>
  <c r="J110" i="1" s="1"/>
  <c r="K110" i="1" s="1"/>
  <c r="AQ110" i="1" s="1"/>
  <c r="I109" i="1"/>
  <c r="G109" i="1"/>
  <c r="AO109" i="1" l="1"/>
  <c r="B110" i="1"/>
  <c r="C110" i="1" l="1"/>
  <c r="AF110" i="1"/>
  <c r="AG110" i="1"/>
  <c r="AH110" i="1" s="1"/>
  <c r="AI110" i="1" l="1"/>
  <c r="AJ110" i="1" s="1"/>
  <c r="AM110" i="1"/>
  <c r="AN110" i="1" s="1"/>
  <c r="AK110" i="1"/>
  <c r="AL110" i="1" s="1"/>
  <c r="D110" i="1"/>
  <c r="E110" i="1" s="1"/>
  <c r="S110" i="1"/>
  <c r="T110" i="1" s="1"/>
  <c r="U110" i="1" s="1"/>
  <c r="AP110" i="1" l="1"/>
  <c r="H110" i="1"/>
  <c r="F110" i="1"/>
  <c r="M110" i="1" l="1"/>
  <c r="L110" i="1" s="1"/>
  <c r="J111" i="1" s="1"/>
  <c r="K111" i="1" s="1"/>
  <c r="AQ111" i="1" s="1"/>
  <c r="G110" i="1"/>
  <c r="I110" i="1"/>
  <c r="AO110" i="1" l="1"/>
  <c r="B111" i="1"/>
  <c r="AF111" i="1" l="1"/>
  <c r="C111" i="1"/>
  <c r="AG111" i="1"/>
  <c r="AH111" i="1" s="1"/>
  <c r="AK111" i="1" l="1"/>
  <c r="AL111" i="1" s="1"/>
  <c r="AI111" i="1"/>
  <c r="AJ111" i="1" s="1"/>
  <c r="AM111" i="1"/>
  <c r="AN111" i="1" s="1"/>
  <c r="D111" i="1"/>
  <c r="E111" i="1" s="1"/>
  <c r="S111" i="1"/>
  <c r="T111" i="1" s="1"/>
  <c r="U111" i="1" s="1"/>
  <c r="AP111" i="1" l="1"/>
  <c r="H111" i="1"/>
  <c r="F111" i="1"/>
  <c r="M111" i="1" l="1"/>
  <c r="L111" i="1" s="1"/>
  <c r="J112" i="1" s="1"/>
  <c r="K112" i="1" s="1"/>
  <c r="AQ112" i="1" s="1"/>
  <c r="G111" i="1"/>
  <c r="I111" i="1"/>
  <c r="AO111" i="1" l="1"/>
  <c r="B112" i="1"/>
  <c r="AF112" i="1" l="1"/>
  <c r="AG112" i="1"/>
  <c r="AH112" i="1" s="1"/>
  <c r="C112" i="1"/>
  <c r="S112" i="1" l="1"/>
  <c r="T112" i="1" s="1"/>
  <c r="U112" i="1" s="1"/>
  <c r="D112" i="1"/>
  <c r="E112" i="1" s="1"/>
  <c r="AI112" i="1"/>
  <c r="AJ112" i="1" s="1"/>
  <c r="AK112" i="1"/>
  <c r="AL112" i="1" s="1"/>
  <c r="AM112" i="1"/>
  <c r="AN112" i="1" s="1"/>
  <c r="AP112" i="1" l="1"/>
  <c r="H112" i="1"/>
  <c r="F112" i="1"/>
  <c r="M112" i="1" l="1"/>
  <c r="L112" i="1" s="1"/>
  <c r="J113" i="1" s="1"/>
  <c r="K113" i="1" s="1"/>
  <c r="AQ113" i="1" s="1"/>
  <c r="I112" i="1"/>
  <c r="G112" i="1"/>
  <c r="AO112" i="1" l="1"/>
  <c r="B113" i="1"/>
  <c r="C113" i="1" l="1"/>
  <c r="AG113" i="1"/>
  <c r="AH113" i="1" s="1"/>
  <c r="AF113" i="1"/>
  <c r="AI113" i="1" l="1"/>
  <c r="AJ113" i="1" s="1"/>
  <c r="AM113" i="1"/>
  <c r="AN113" i="1" s="1"/>
  <c r="AK113" i="1"/>
  <c r="AL113" i="1" s="1"/>
  <c r="D113" i="1"/>
  <c r="E113" i="1" s="1"/>
  <c r="S113" i="1"/>
  <c r="T113" i="1" s="1"/>
  <c r="U113" i="1" s="1"/>
  <c r="H113" i="1" l="1"/>
  <c r="F113" i="1"/>
  <c r="AP113" i="1"/>
  <c r="M113" i="1" l="1"/>
  <c r="L113" i="1" s="1"/>
  <c r="J114" i="1" s="1"/>
  <c r="K114" i="1" s="1"/>
  <c r="AQ114" i="1" s="1"/>
  <c r="I113" i="1"/>
  <c r="G113" i="1"/>
  <c r="AO113" i="1" l="1"/>
  <c r="B114" i="1"/>
  <c r="C114" i="1" l="1"/>
  <c r="AG114" i="1"/>
  <c r="AH114" i="1" s="1"/>
  <c r="AF114" i="1"/>
  <c r="AK114" i="1" l="1"/>
  <c r="AL114" i="1" s="1"/>
  <c r="AM114" i="1"/>
  <c r="AN114" i="1" s="1"/>
  <c r="AI114" i="1"/>
  <c r="AJ114" i="1" s="1"/>
  <c r="D114" i="1"/>
  <c r="E114" i="1" s="1"/>
  <c r="S114" i="1"/>
  <c r="T114" i="1" s="1"/>
  <c r="U114" i="1" s="1"/>
  <c r="H114" i="1" l="1"/>
  <c r="F114" i="1"/>
  <c r="AP114" i="1"/>
  <c r="M114" i="1" l="1"/>
  <c r="L114" i="1" s="1"/>
  <c r="J115" i="1" s="1"/>
  <c r="K115" i="1" s="1"/>
  <c r="AQ115" i="1" s="1"/>
  <c r="I114" i="1"/>
  <c r="G114" i="1"/>
  <c r="AO114" i="1" l="1"/>
  <c r="B115" i="1"/>
  <c r="C115" i="1" l="1"/>
  <c r="AG115" i="1"/>
  <c r="AH115" i="1" s="1"/>
  <c r="AF115" i="1"/>
  <c r="AM115" i="1" l="1"/>
  <c r="AN115" i="1" s="1"/>
  <c r="AI115" i="1"/>
  <c r="AJ115" i="1" s="1"/>
  <c r="AK115" i="1"/>
  <c r="AL115" i="1" s="1"/>
  <c r="D115" i="1"/>
  <c r="E115" i="1" s="1"/>
  <c r="S115" i="1"/>
  <c r="T115" i="1" s="1"/>
  <c r="U115" i="1" s="1"/>
  <c r="AP115" i="1" l="1"/>
  <c r="H115" i="1"/>
  <c r="F115" i="1"/>
  <c r="M115" i="1" l="1"/>
  <c r="L115" i="1" s="1"/>
  <c r="J116" i="1" s="1"/>
  <c r="K116" i="1" s="1"/>
  <c r="AQ116" i="1" s="1"/>
  <c r="G115" i="1"/>
  <c r="I115" i="1"/>
  <c r="AO115" i="1" l="1"/>
  <c r="B116" i="1"/>
  <c r="C116" i="1" l="1"/>
  <c r="AG116" i="1"/>
  <c r="AH116" i="1" s="1"/>
  <c r="AF116" i="1"/>
  <c r="AK116" i="1" l="1"/>
  <c r="AL116" i="1" s="1"/>
  <c r="AM116" i="1"/>
  <c r="AN116" i="1" s="1"/>
  <c r="AI116" i="1"/>
  <c r="AJ116" i="1" s="1"/>
  <c r="S116" i="1"/>
  <c r="T116" i="1" s="1"/>
  <c r="U116" i="1" s="1"/>
  <c r="D116" i="1"/>
  <c r="E116" i="1" s="1"/>
  <c r="H116" i="1" l="1"/>
  <c r="F116" i="1"/>
  <c r="AP116" i="1"/>
  <c r="M116" i="1" l="1"/>
  <c r="L116" i="1" s="1"/>
  <c r="J117" i="1" s="1"/>
  <c r="K117" i="1" s="1"/>
  <c r="AQ117" i="1" s="1"/>
  <c r="I116" i="1"/>
  <c r="G116" i="1"/>
  <c r="AO116" i="1" l="1"/>
  <c r="B117" i="1"/>
  <c r="C117" i="1" l="1"/>
  <c r="AG117" i="1"/>
  <c r="AH117" i="1" s="1"/>
  <c r="AF117" i="1"/>
  <c r="AM117" i="1" l="1"/>
  <c r="AN117" i="1" s="1"/>
  <c r="AK117" i="1"/>
  <c r="AL117" i="1" s="1"/>
  <c r="AI117" i="1"/>
  <c r="AJ117" i="1" s="1"/>
  <c r="S117" i="1"/>
  <c r="T117" i="1" s="1"/>
  <c r="U117" i="1" s="1"/>
  <c r="D117" i="1"/>
  <c r="E117" i="1" s="1"/>
  <c r="H117" i="1" l="1"/>
  <c r="F117" i="1"/>
  <c r="AP117" i="1"/>
  <c r="M117" i="1" l="1"/>
  <c r="L117" i="1" s="1"/>
  <c r="J118" i="1" s="1"/>
  <c r="K118" i="1" s="1"/>
  <c r="AQ118" i="1" s="1"/>
  <c r="I117" i="1"/>
  <c r="G117" i="1"/>
  <c r="AO117" i="1" l="1"/>
  <c r="B118" i="1"/>
  <c r="AF118" i="1" l="1"/>
  <c r="AG118" i="1"/>
  <c r="AH118" i="1" s="1"/>
  <c r="C118" i="1"/>
  <c r="S118" i="1" l="1"/>
  <c r="T118" i="1" s="1"/>
  <c r="U118" i="1" s="1"/>
  <c r="D118" i="1"/>
  <c r="E118" i="1" s="1"/>
  <c r="AK118" i="1"/>
  <c r="AL118" i="1" s="1"/>
  <c r="AI118" i="1"/>
  <c r="AJ118" i="1" s="1"/>
  <c r="AM118" i="1"/>
  <c r="AN118" i="1" s="1"/>
  <c r="AP118" i="1" l="1"/>
  <c r="H118" i="1"/>
  <c r="F118" i="1"/>
  <c r="M118" i="1" l="1"/>
  <c r="L118" i="1" s="1"/>
  <c r="J119" i="1" s="1"/>
  <c r="K119" i="1" s="1"/>
  <c r="AQ119" i="1" s="1"/>
  <c r="I118" i="1"/>
  <c r="G118" i="1"/>
  <c r="AO118" i="1" l="1"/>
  <c r="B119" i="1"/>
  <c r="AF119" i="1" l="1"/>
  <c r="AG119" i="1"/>
  <c r="AH119" i="1" s="1"/>
  <c r="C119" i="1"/>
  <c r="S119" i="1" l="1"/>
  <c r="T119" i="1" s="1"/>
  <c r="U119" i="1" s="1"/>
  <c r="D119" i="1"/>
  <c r="E119" i="1" s="1"/>
  <c r="AK119" i="1"/>
  <c r="AL119" i="1" s="1"/>
  <c r="AM119" i="1"/>
  <c r="AN119" i="1" s="1"/>
  <c r="AI119" i="1"/>
  <c r="AJ119" i="1" s="1"/>
  <c r="AP119" i="1" l="1"/>
  <c r="H119" i="1"/>
  <c r="F119" i="1"/>
  <c r="M119" i="1" l="1"/>
  <c r="L119" i="1" s="1"/>
  <c r="J120" i="1" s="1"/>
  <c r="K120" i="1" s="1"/>
  <c r="AQ120" i="1" s="1"/>
  <c r="I119" i="1"/>
  <c r="G119" i="1"/>
  <c r="AO119" i="1" l="1"/>
  <c r="B120" i="1"/>
  <c r="C120" i="1" l="1"/>
  <c r="AG120" i="1"/>
  <c r="AH120" i="1" s="1"/>
  <c r="AF120" i="1"/>
  <c r="AI120" i="1" l="1"/>
  <c r="AJ120" i="1" s="1"/>
  <c r="AK120" i="1"/>
  <c r="AL120" i="1" s="1"/>
  <c r="AM120" i="1"/>
  <c r="AN120" i="1" s="1"/>
  <c r="D120" i="1"/>
  <c r="E120" i="1" s="1"/>
  <c r="S120" i="1"/>
  <c r="T120" i="1" s="1"/>
  <c r="U120" i="1" s="1"/>
  <c r="H120" i="1" l="1"/>
  <c r="F120" i="1"/>
  <c r="AP120" i="1"/>
  <c r="M120" i="1" l="1"/>
  <c r="L120" i="1" s="1"/>
  <c r="J121" i="1" s="1"/>
  <c r="K121" i="1" s="1"/>
  <c r="AQ121" i="1" s="1"/>
  <c r="I120" i="1"/>
  <c r="G120" i="1"/>
  <c r="AO120" i="1" l="1"/>
  <c r="B121" i="1"/>
  <c r="AG121" i="1" l="1"/>
  <c r="AH121" i="1" s="1"/>
  <c r="C121" i="1"/>
  <c r="AF121" i="1"/>
  <c r="D121" i="1" l="1"/>
  <c r="E121" i="1" s="1"/>
  <c r="S121" i="1"/>
  <c r="T121" i="1" s="1"/>
  <c r="U121" i="1" s="1"/>
  <c r="AK121" i="1"/>
  <c r="AL121" i="1" s="1"/>
  <c r="AM121" i="1"/>
  <c r="AN121" i="1" s="1"/>
  <c r="AI121" i="1"/>
  <c r="AJ121" i="1" s="1"/>
  <c r="AP121" i="1" l="1"/>
  <c r="H121" i="1"/>
  <c r="F121" i="1"/>
  <c r="M121" i="1" l="1"/>
  <c r="L121" i="1" s="1"/>
  <c r="J122" i="1" s="1"/>
  <c r="K122" i="1" s="1"/>
  <c r="AQ122" i="1" s="1"/>
  <c r="I121" i="1"/>
  <c r="G121" i="1"/>
  <c r="AO121" i="1" l="1"/>
  <c r="B122" i="1"/>
  <c r="AF122" i="1" l="1"/>
  <c r="AG122" i="1"/>
  <c r="AH122" i="1" s="1"/>
  <c r="C122" i="1"/>
  <c r="S122" i="1" l="1"/>
  <c r="T122" i="1" s="1"/>
  <c r="U122" i="1" s="1"/>
  <c r="D122" i="1"/>
  <c r="E122" i="1" s="1"/>
  <c r="AK122" i="1"/>
  <c r="AL122" i="1" s="1"/>
  <c r="AI122" i="1"/>
  <c r="AJ122" i="1" s="1"/>
  <c r="AM122" i="1"/>
  <c r="AN122" i="1" s="1"/>
  <c r="AP122" i="1" l="1"/>
  <c r="H122" i="1"/>
  <c r="F122" i="1"/>
  <c r="M122" i="1" l="1"/>
  <c r="L122" i="1" s="1"/>
  <c r="J123" i="1" s="1"/>
  <c r="K123" i="1" s="1"/>
  <c r="AQ123" i="1" s="1"/>
  <c r="G122" i="1"/>
  <c r="I122" i="1"/>
  <c r="AO122" i="1" l="1"/>
  <c r="B123" i="1"/>
  <c r="AF123" i="1" l="1"/>
  <c r="C123" i="1"/>
  <c r="AG123" i="1"/>
  <c r="AH123" i="1" s="1"/>
  <c r="AM123" i="1" l="1"/>
  <c r="AN123" i="1" s="1"/>
  <c r="AK123" i="1"/>
  <c r="AL123" i="1" s="1"/>
  <c r="AI123" i="1"/>
  <c r="AJ123" i="1" s="1"/>
  <c r="S123" i="1"/>
  <c r="T123" i="1" s="1"/>
  <c r="U123" i="1" s="1"/>
  <c r="D123" i="1"/>
  <c r="E123" i="1" s="1"/>
  <c r="H123" i="1" l="1"/>
  <c r="F123" i="1"/>
  <c r="AP123" i="1"/>
  <c r="M123" i="1" l="1"/>
  <c r="L123" i="1" s="1"/>
  <c r="J124" i="1" s="1"/>
  <c r="K124" i="1" s="1"/>
  <c r="AQ124" i="1" s="1"/>
  <c r="I123" i="1"/>
  <c r="G123" i="1"/>
  <c r="AO123" i="1" l="1"/>
  <c r="B124" i="1"/>
  <c r="C124" i="1" l="1"/>
  <c r="AF124" i="1"/>
  <c r="AG124" i="1"/>
  <c r="AH124" i="1" s="1"/>
  <c r="AI124" i="1" l="1"/>
  <c r="AJ124" i="1" s="1"/>
  <c r="AM124" i="1"/>
  <c r="AN124" i="1" s="1"/>
  <c r="AK124" i="1"/>
  <c r="AL124" i="1" s="1"/>
  <c r="S124" i="1"/>
  <c r="T124" i="1" s="1"/>
  <c r="U124" i="1" s="1"/>
  <c r="D124" i="1"/>
  <c r="E124" i="1" s="1"/>
  <c r="AP124" i="1" l="1"/>
  <c r="H124" i="1"/>
  <c r="F124" i="1"/>
  <c r="M124" i="1" l="1"/>
  <c r="L124" i="1" s="1"/>
  <c r="J125" i="1" s="1"/>
  <c r="K125" i="1" s="1"/>
  <c r="AQ125" i="1" s="1"/>
  <c r="I124" i="1"/>
  <c r="G124" i="1"/>
  <c r="AO124" i="1" l="1"/>
  <c r="B125" i="1"/>
  <c r="C125" i="1" l="1"/>
  <c r="AF125" i="1"/>
  <c r="AG125" i="1"/>
  <c r="AH125" i="1" s="1"/>
  <c r="AM125" i="1" l="1"/>
  <c r="AN125" i="1" s="1"/>
  <c r="AI125" i="1"/>
  <c r="AJ125" i="1" s="1"/>
  <c r="AK125" i="1"/>
  <c r="AL125" i="1" s="1"/>
  <c r="D125" i="1"/>
  <c r="E125" i="1" s="1"/>
  <c r="S125" i="1"/>
  <c r="T125" i="1" s="1"/>
  <c r="U125" i="1" s="1"/>
  <c r="AP125" i="1" l="1"/>
  <c r="H125" i="1"/>
  <c r="F125" i="1"/>
  <c r="M125" i="1" l="1"/>
  <c r="L125" i="1" s="1"/>
  <c r="J126" i="1" s="1"/>
  <c r="K126" i="1" s="1"/>
  <c r="AQ126" i="1" s="1"/>
  <c r="G125" i="1"/>
  <c r="I125" i="1"/>
  <c r="AO125" i="1" l="1"/>
  <c r="B126" i="1"/>
  <c r="AG126" i="1" l="1"/>
  <c r="AH126" i="1" s="1"/>
  <c r="AF126" i="1"/>
  <c r="C126" i="1"/>
  <c r="S126" i="1" l="1"/>
  <c r="T126" i="1" s="1"/>
  <c r="U126" i="1" s="1"/>
  <c r="D126" i="1"/>
  <c r="E126" i="1" s="1"/>
  <c r="AM126" i="1"/>
  <c r="AN126" i="1" s="1"/>
  <c r="AK126" i="1"/>
  <c r="AL126" i="1" s="1"/>
  <c r="AI126" i="1"/>
  <c r="AJ126" i="1" s="1"/>
  <c r="AP126" i="1" l="1"/>
  <c r="H126" i="1"/>
  <c r="F126" i="1"/>
  <c r="M126" i="1" l="1"/>
  <c r="L126" i="1" s="1"/>
  <c r="J127" i="1" s="1"/>
  <c r="K127" i="1" s="1"/>
  <c r="AQ127" i="1" s="1"/>
  <c r="I126" i="1"/>
  <c r="G126" i="1"/>
  <c r="AO126" i="1" l="1"/>
  <c r="B127" i="1"/>
  <c r="AF127" i="1" l="1"/>
  <c r="AG127" i="1"/>
  <c r="AH127" i="1" s="1"/>
  <c r="C127" i="1"/>
  <c r="AI127" i="1" l="1"/>
  <c r="AJ127" i="1" s="1"/>
  <c r="AM127" i="1"/>
  <c r="AN127" i="1" s="1"/>
  <c r="AK127" i="1"/>
  <c r="AL127" i="1" s="1"/>
  <c r="S127" i="1"/>
  <c r="T127" i="1" s="1"/>
  <c r="U127" i="1" s="1"/>
  <c r="D127" i="1"/>
  <c r="E127" i="1" s="1"/>
  <c r="H127" i="1" l="1"/>
  <c r="F127" i="1"/>
  <c r="AP127" i="1"/>
  <c r="M127" i="1" l="1"/>
  <c r="L127" i="1" s="1"/>
  <c r="J128" i="1" s="1"/>
  <c r="K128" i="1" s="1"/>
  <c r="AQ128" i="1" s="1"/>
  <c r="I127" i="1"/>
  <c r="G127" i="1"/>
  <c r="AO127" i="1" l="1"/>
  <c r="B128" i="1"/>
  <c r="AF128" i="1" l="1"/>
  <c r="AG128" i="1"/>
  <c r="AH128" i="1" s="1"/>
  <c r="C128" i="1"/>
  <c r="S128" i="1" l="1"/>
  <c r="T128" i="1" s="1"/>
  <c r="U128" i="1" s="1"/>
  <c r="D128" i="1"/>
  <c r="E128" i="1" s="1"/>
  <c r="AI128" i="1"/>
  <c r="AJ128" i="1" s="1"/>
  <c r="AM128" i="1"/>
  <c r="AN128" i="1" s="1"/>
  <c r="AK128" i="1"/>
  <c r="AL128" i="1" s="1"/>
  <c r="AP128" i="1" l="1"/>
  <c r="H128" i="1"/>
  <c r="F128" i="1"/>
  <c r="M128" i="1" l="1"/>
  <c r="L128" i="1" s="1"/>
  <c r="J129" i="1" s="1"/>
  <c r="K129" i="1" s="1"/>
  <c r="G128" i="1"/>
  <c r="I128" i="1"/>
  <c r="AO128" i="1" l="1"/>
  <c r="B129" i="1"/>
  <c r="AQ129" i="1"/>
  <c r="C129" i="1" l="1"/>
  <c r="AF129" i="1"/>
  <c r="AG129" i="1"/>
  <c r="AH129" i="1" s="1"/>
  <c r="AM129" i="1" l="1"/>
  <c r="AN129" i="1" s="1"/>
  <c r="AI129" i="1"/>
  <c r="AJ129" i="1" s="1"/>
  <c r="AK129" i="1"/>
  <c r="AL129" i="1" s="1"/>
  <c r="S129" i="1"/>
  <c r="T129" i="1" s="1"/>
  <c r="U129" i="1" s="1"/>
  <c r="D129" i="1"/>
  <c r="E129" i="1" s="1"/>
  <c r="H129" i="1" l="1"/>
  <c r="F129" i="1"/>
  <c r="AP129" i="1"/>
  <c r="M129" i="1" l="1"/>
  <c r="L129" i="1" s="1"/>
  <c r="J130" i="1" s="1"/>
  <c r="K130" i="1" s="1"/>
  <c r="I129" i="1"/>
  <c r="G129" i="1"/>
  <c r="AO129" i="1" l="1"/>
  <c r="B130" i="1"/>
  <c r="AQ130" i="1"/>
  <c r="AF130" i="1" l="1"/>
  <c r="C130" i="1"/>
  <c r="AG130" i="1"/>
  <c r="AH130" i="1" s="1"/>
  <c r="AK130" i="1" l="1"/>
  <c r="AL130" i="1" s="1"/>
  <c r="AI130" i="1"/>
  <c r="AJ130" i="1" s="1"/>
  <c r="AM130" i="1"/>
  <c r="AN130" i="1" s="1"/>
  <c r="D130" i="1"/>
  <c r="E130" i="1" s="1"/>
  <c r="S130" i="1"/>
  <c r="T130" i="1" s="1"/>
  <c r="U130" i="1" s="1"/>
  <c r="AP130" i="1" l="1"/>
  <c r="H130" i="1"/>
  <c r="F130" i="1"/>
  <c r="M130" i="1" l="1"/>
  <c r="L130" i="1" s="1"/>
  <c r="J131" i="1" s="1"/>
  <c r="K131" i="1" s="1"/>
  <c r="G130" i="1"/>
  <c r="I130" i="1"/>
  <c r="AO130" i="1" l="1"/>
  <c r="B131" i="1"/>
  <c r="AQ131" i="1"/>
  <c r="T29" i="2" s="1"/>
  <c r="N131" i="1"/>
  <c r="AF131" i="1" l="1"/>
  <c r="AG131" i="1"/>
  <c r="AH131" i="1" s="1"/>
  <c r="C131" i="1"/>
  <c r="AK131" i="1" l="1"/>
  <c r="AL131" i="1" s="1"/>
  <c r="AI131" i="1"/>
  <c r="AJ131" i="1" s="1"/>
  <c r="AM131" i="1"/>
  <c r="AN131" i="1" s="1"/>
  <c r="D131" i="1"/>
  <c r="E131" i="1" s="1"/>
  <c r="S131" i="1"/>
  <c r="T131" i="1" s="1"/>
  <c r="U131" i="1" s="1"/>
  <c r="H131" i="1" l="1"/>
  <c r="F131" i="1"/>
  <c r="O131" i="1" s="1"/>
  <c r="AP131" i="1"/>
  <c r="R29" i="2" s="1"/>
  <c r="M131" i="1" l="1"/>
  <c r="L131" i="1" s="1"/>
  <c r="J132" i="1" s="1"/>
  <c r="K132" i="1" s="1"/>
  <c r="AQ132" i="1" s="1"/>
  <c r="I131" i="1"/>
  <c r="G131" i="1"/>
  <c r="AO131" i="1" l="1"/>
  <c r="B132" i="1"/>
  <c r="AF132" i="1" l="1"/>
  <c r="C132" i="1"/>
  <c r="AG132" i="1"/>
  <c r="AH132" i="1" s="1"/>
  <c r="D132" i="1" l="1"/>
  <c r="E132" i="1" s="1"/>
  <c r="S132" i="1"/>
  <c r="T132" i="1" s="1"/>
  <c r="U132" i="1" s="1"/>
  <c r="AM132" i="1"/>
  <c r="AN132" i="1" s="1"/>
  <c r="AK132" i="1"/>
  <c r="AL132" i="1" s="1"/>
  <c r="AI132" i="1"/>
  <c r="AJ132" i="1" s="1"/>
  <c r="AP132" i="1" l="1"/>
  <c r="H132" i="1"/>
  <c r="F132" i="1"/>
  <c r="M132" i="1" l="1"/>
  <c r="L132" i="1" s="1"/>
  <c r="J133" i="1" s="1"/>
  <c r="K133" i="1" s="1"/>
  <c r="AQ133" i="1" s="1"/>
  <c r="G132" i="1"/>
  <c r="I132" i="1"/>
  <c r="AO132" i="1" l="1"/>
  <c r="B133" i="1"/>
  <c r="AF133" i="1" l="1"/>
  <c r="C133" i="1"/>
  <c r="AG133" i="1"/>
  <c r="AH133" i="1" s="1"/>
  <c r="AK133" i="1" l="1"/>
  <c r="AL133" i="1" s="1"/>
  <c r="AI133" i="1"/>
  <c r="AJ133" i="1" s="1"/>
  <c r="AM133" i="1"/>
  <c r="AN133" i="1" s="1"/>
  <c r="S133" i="1"/>
  <c r="T133" i="1" s="1"/>
  <c r="U133" i="1" s="1"/>
  <c r="D133" i="1"/>
  <c r="E133" i="1" s="1"/>
  <c r="H133" i="1" l="1"/>
  <c r="F133" i="1"/>
  <c r="AP133" i="1"/>
  <c r="M133" i="1" l="1"/>
  <c r="L133" i="1" s="1"/>
  <c r="J134" i="1" s="1"/>
  <c r="K134" i="1" s="1"/>
  <c r="AQ134" i="1" s="1"/>
  <c r="G133" i="1"/>
  <c r="I133" i="1"/>
  <c r="AO133" i="1" l="1"/>
  <c r="B134" i="1"/>
  <c r="AF134" i="1" l="1"/>
  <c r="C134" i="1"/>
  <c r="AG134" i="1"/>
  <c r="AH134" i="1" s="1"/>
  <c r="D134" i="1" l="1"/>
  <c r="E134" i="1" s="1"/>
  <c r="S134" i="1"/>
  <c r="T134" i="1" s="1"/>
  <c r="U134" i="1" s="1"/>
  <c r="AK134" i="1"/>
  <c r="AL134" i="1" s="1"/>
  <c r="AI134" i="1"/>
  <c r="AJ134" i="1" s="1"/>
  <c r="AM134" i="1"/>
  <c r="AN134" i="1" s="1"/>
  <c r="AP134" i="1" l="1"/>
  <c r="H134" i="1"/>
  <c r="F134" i="1"/>
  <c r="M134" i="1" l="1"/>
  <c r="L134" i="1" s="1"/>
  <c r="J135" i="1" s="1"/>
  <c r="K135" i="1" s="1"/>
  <c r="AQ135" i="1" s="1"/>
  <c r="G134" i="1"/>
  <c r="I134" i="1"/>
  <c r="AO134" i="1" l="1"/>
  <c r="B135" i="1"/>
  <c r="AF135" i="1" l="1"/>
  <c r="C135" i="1"/>
  <c r="AG135" i="1"/>
  <c r="AH135" i="1" s="1"/>
  <c r="S135" i="1" l="1"/>
  <c r="T135" i="1" s="1"/>
  <c r="U135" i="1" s="1"/>
  <c r="D135" i="1"/>
  <c r="E135" i="1" s="1"/>
  <c r="AK135" i="1"/>
  <c r="AL135" i="1" s="1"/>
  <c r="AM135" i="1"/>
  <c r="AN135" i="1" s="1"/>
  <c r="AI135" i="1"/>
  <c r="AJ135" i="1" s="1"/>
  <c r="AP135" i="1" l="1"/>
  <c r="H135" i="1"/>
  <c r="F135" i="1"/>
  <c r="M135" i="1" l="1"/>
  <c r="L135" i="1" s="1"/>
  <c r="J136" i="1" s="1"/>
  <c r="K136" i="1" s="1"/>
  <c r="AQ136" i="1" s="1"/>
  <c r="G135" i="1"/>
  <c r="I135" i="1"/>
  <c r="AO135" i="1" l="1"/>
  <c r="B136" i="1"/>
  <c r="AF136" i="1" l="1"/>
  <c r="C136" i="1"/>
  <c r="AG136" i="1"/>
  <c r="AH136" i="1" s="1"/>
  <c r="AM136" i="1" l="1"/>
  <c r="AN136" i="1" s="1"/>
  <c r="AI136" i="1"/>
  <c r="AJ136" i="1" s="1"/>
  <c r="AK136" i="1"/>
  <c r="AL136" i="1" s="1"/>
  <c r="D136" i="1"/>
  <c r="E136" i="1" s="1"/>
  <c r="S136" i="1"/>
  <c r="T136" i="1" s="1"/>
  <c r="U136" i="1" s="1"/>
  <c r="AP136" i="1" l="1"/>
  <c r="H136" i="1"/>
  <c r="F136" i="1"/>
  <c r="S236" i="1"/>
  <c r="M136" i="1" l="1"/>
  <c r="L136" i="1" s="1"/>
  <c r="J137" i="1" s="1"/>
  <c r="K137" i="1" s="1"/>
  <c r="AQ137" i="1" s="1"/>
  <c r="G136" i="1"/>
  <c r="I136" i="1"/>
  <c r="T236" i="1"/>
  <c r="U236" i="1" s="1"/>
  <c r="AO136" i="1" l="1"/>
  <c r="B137" i="1"/>
  <c r="S237" i="1"/>
  <c r="AF137" i="1" l="1"/>
  <c r="AG137" i="1"/>
  <c r="AH137" i="1" s="1"/>
  <c r="C137" i="1"/>
  <c r="T237" i="1"/>
  <c r="U237" i="1" s="1"/>
  <c r="AK137" i="1" l="1"/>
  <c r="AL137" i="1" s="1"/>
  <c r="AM137" i="1"/>
  <c r="AN137" i="1" s="1"/>
  <c r="AI137" i="1"/>
  <c r="AJ137" i="1" s="1"/>
  <c r="D137" i="1"/>
  <c r="E137" i="1" s="1"/>
  <c r="S137" i="1"/>
  <c r="T137" i="1" s="1"/>
  <c r="U137" i="1" s="1"/>
  <c r="S238" i="1"/>
  <c r="AP137" i="1" l="1"/>
  <c r="H137" i="1"/>
  <c r="F137" i="1"/>
  <c r="T238" i="1"/>
  <c r="U238" i="1" s="1"/>
  <c r="M137" i="1" l="1"/>
  <c r="L137" i="1" s="1"/>
  <c r="J138" i="1" s="1"/>
  <c r="K138" i="1" s="1"/>
  <c r="AQ138" i="1" s="1"/>
  <c r="G137" i="1"/>
  <c r="I137" i="1"/>
  <c r="S239" i="1"/>
  <c r="AO137" i="1" l="1"/>
  <c r="B138" i="1"/>
  <c r="T239" i="1"/>
  <c r="U239" i="1" s="1"/>
  <c r="AF138" i="1" l="1"/>
  <c r="C138" i="1"/>
  <c r="AG138" i="1"/>
  <c r="AH138" i="1" s="1"/>
  <c r="S240" i="1"/>
  <c r="AI138" i="1" l="1"/>
  <c r="AJ138" i="1" s="1"/>
  <c r="AM138" i="1"/>
  <c r="AN138" i="1" s="1"/>
  <c r="AK138" i="1"/>
  <c r="AL138" i="1" s="1"/>
  <c r="D138" i="1"/>
  <c r="E138" i="1" s="1"/>
  <c r="S138" i="1"/>
  <c r="T138" i="1" s="1"/>
  <c r="U138" i="1" s="1"/>
  <c r="T240" i="1"/>
  <c r="U240" i="1" s="1"/>
  <c r="AP138" i="1" l="1"/>
  <c r="H138" i="1"/>
  <c r="F138" i="1"/>
  <c r="S241" i="1"/>
  <c r="M138" i="1" l="1"/>
  <c r="L138" i="1" s="1"/>
  <c r="J139" i="1" s="1"/>
  <c r="K139" i="1" s="1"/>
  <c r="AQ139" i="1" s="1"/>
  <c r="G138" i="1"/>
  <c r="I138" i="1"/>
  <c r="T241" i="1"/>
  <c r="U241" i="1" s="1"/>
  <c r="AO138" i="1" l="1"/>
  <c r="B139" i="1"/>
  <c r="S242" i="1"/>
  <c r="AF139" i="1" l="1"/>
  <c r="C139" i="1"/>
  <c r="AG139" i="1"/>
  <c r="AH139" i="1" s="1"/>
  <c r="T242" i="1"/>
  <c r="U242" i="1" s="1"/>
  <c r="AI139" i="1" l="1"/>
  <c r="AJ139" i="1" s="1"/>
  <c r="AM139" i="1"/>
  <c r="AN139" i="1" s="1"/>
  <c r="AK139" i="1"/>
  <c r="AL139" i="1" s="1"/>
  <c r="D139" i="1"/>
  <c r="E139" i="1" s="1"/>
  <c r="S139" i="1"/>
  <c r="T139" i="1" s="1"/>
  <c r="U139" i="1" s="1"/>
  <c r="S243" i="1"/>
  <c r="AP139" i="1" l="1"/>
  <c r="H139" i="1"/>
  <c r="F139" i="1"/>
  <c r="T243" i="1"/>
  <c r="U243" i="1" s="1"/>
  <c r="M139" i="1" l="1"/>
  <c r="L139" i="1" s="1"/>
  <c r="J140" i="1" s="1"/>
  <c r="K140" i="1" s="1"/>
  <c r="AQ140" i="1" s="1"/>
  <c r="I139" i="1"/>
  <c r="G139" i="1"/>
  <c r="S244" i="1"/>
  <c r="AO139" i="1" l="1"/>
  <c r="B140" i="1"/>
  <c r="T244" i="1"/>
  <c r="U244" i="1" s="1"/>
  <c r="C140" i="1" l="1"/>
  <c r="AG140" i="1"/>
  <c r="AH140" i="1" s="1"/>
  <c r="AF140" i="1"/>
  <c r="S245" i="1"/>
  <c r="AI140" i="1" l="1"/>
  <c r="AJ140" i="1" s="1"/>
  <c r="AM140" i="1"/>
  <c r="AN140" i="1" s="1"/>
  <c r="AK140" i="1"/>
  <c r="AL140" i="1" s="1"/>
  <c r="S140" i="1"/>
  <c r="T140" i="1" s="1"/>
  <c r="U140" i="1" s="1"/>
  <c r="D140" i="1"/>
  <c r="E140" i="1" s="1"/>
  <c r="T245" i="1"/>
  <c r="U245" i="1" s="1"/>
  <c r="H140" i="1" l="1"/>
  <c r="F140" i="1"/>
  <c r="AP140" i="1"/>
  <c r="S246" i="1"/>
  <c r="M140" i="1" l="1"/>
  <c r="L140" i="1" s="1"/>
  <c r="J141" i="1" s="1"/>
  <c r="K141" i="1" s="1"/>
  <c r="AQ141" i="1" s="1"/>
  <c r="I140" i="1"/>
  <c r="G140" i="1"/>
  <c r="T246" i="1"/>
  <c r="U246" i="1" s="1"/>
  <c r="AO140" i="1" l="1"/>
  <c r="B141" i="1"/>
  <c r="S247" i="1"/>
  <c r="AG141" i="1" l="1"/>
  <c r="AH141" i="1" s="1"/>
  <c r="AF141" i="1"/>
  <c r="C141" i="1"/>
  <c r="T247" i="1"/>
  <c r="U247" i="1" s="1"/>
  <c r="D141" i="1" l="1"/>
  <c r="E141" i="1" s="1"/>
  <c r="S141" i="1"/>
  <c r="T141" i="1" s="1"/>
  <c r="U141" i="1" s="1"/>
  <c r="AK141" i="1"/>
  <c r="AL141" i="1" s="1"/>
  <c r="AM141" i="1"/>
  <c r="AN141" i="1" s="1"/>
  <c r="AI141" i="1"/>
  <c r="AJ141" i="1" s="1"/>
  <c r="AP141" i="1" l="1"/>
  <c r="H141" i="1"/>
  <c r="F141" i="1"/>
  <c r="M141" i="1" l="1"/>
  <c r="L141" i="1" s="1"/>
  <c r="J142" i="1" s="1"/>
  <c r="K142" i="1" s="1"/>
  <c r="AQ142" i="1" s="1"/>
  <c r="I141" i="1"/>
  <c r="G141" i="1"/>
  <c r="S248" i="1"/>
  <c r="AO141" i="1" l="1"/>
  <c r="B142" i="1"/>
  <c r="T248" i="1"/>
  <c r="U248" i="1" s="1"/>
  <c r="AG142" i="1" l="1"/>
  <c r="AH142" i="1" s="1"/>
  <c r="AF142" i="1"/>
  <c r="C142" i="1"/>
  <c r="D142" i="1" l="1"/>
  <c r="E142" i="1" s="1"/>
  <c r="S142" i="1"/>
  <c r="T142" i="1" s="1"/>
  <c r="U142" i="1" s="1"/>
  <c r="AK142" i="1"/>
  <c r="AL142" i="1" s="1"/>
  <c r="AI142" i="1"/>
  <c r="AJ142" i="1" s="1"/>
  <c r="AM142" i="1"/>
  <c r="AN142" i="1" s="1"/>
  <c r="AP142" i="1" l="1"/>
  <c r="H142" i="1"/>
  <c r="F142" i="1"/>
  <c r="S249" i="1"/>
  <c r="M142" i="1" l="1"/>
  <c r="L142" i="1" s="1"/>
  <c r="J143" i="1" s="1"/>
  <c r="K143" i="1" s="1"/>
  <c r="AQ143" i="1" s="1"/>
  <c r="I142" i="1"/>
  <c r="G142" i="1"/>
  <c r="T249" i="1"/>
  <c r="U249" i="1" s="1"/>
  <c r="AO142" i="1" l="1"/>
  <c r="B143" i="1"/>
  <c r="AF143" i="1" l="1"/>
  <c r="C143" i="1"/>
  <c r="AG143" i="1"/>
  <c r="AH143" i="1" s="1"/>
  <c r="D143" i="1" l="1"/>
  <c r="E143" i="1" s="1"/>
  <c r="S143" i="1"/>
  <c r="T143" i="1" s="1"/>
  <c r="U143" i="1" s="1"/>
  <c r="AI143" i="1"/>
  <c r="AJ143" i="1" s="1"/>
  <c r="AK143" i="1"/>
  <c r="AL143" i="1" s="1"/>
  <c r="AM143" i="1"/>
  <c r="AN143" i="1" s="1"/>
  <c r="S250" i="1"/>
  <c r="AP143" i="1" l="1"/>
  <c r="H143" i="1"/>
  <c r="F143" i="1"/>
  <c r="T250" i="1"/>
  <c r="U250" i="1" s="1"/>
  <c r="M143" i="1" l="1"/>
  <c r="L143" i="1" s="1"/>
  <c r="J144" i="1" s="1"/>
  <c r="K144" i="1" s="1"/>
  <c r="AQ144" i="1" s="1"/>
  <c r="I143" i="1"/>
  <c r="G143" i="1"/>
  <c r="AO143" i="1" l="1"/>
  <c r="B144" i="1"/>
  <c r="AF144" i="1" l="1"/>
  <c r="AG144" i="1"/>
  <c r="AH144" i="1" s="1"/>
  <c r="C144" i="1"/>
  <c r="S251" i="1"/>
  <c r="D144" i="1" l="1"/>
  <c r="E144" i="1" s="1"/>
  <c r="S144" i="1"/>
  <c r="T144" i="1" s="1"/>
  <c r="U144" i="1" s="1"/>
  <c r="AK144" i="1"/>
  <c r="AL144" i="1" s="1"/>
  <c r="AM144" i="1"/>
  <c r="AN144" i="1" s="1"/>
  <c r="AI144" i="1"/>
  <c r="AJ144" i="1" s="1"/>
  <c r="T251" i="1"/>
  <c r="U251" i="1" s="1"/>
  <c r="AP144" i="1" l="1"/>
  <c r="H144" i="1"/>
  <c r="F144" i="1"/>
  <c r="M144" i="1" l="1"/>
  <c r="L144" i="1" s="1"/>
  <c r="J145" i="1" s="1"/>
  <c r="K145" i="1" s="1"/>
  <c r="AQ145" i="1" s="1"/>
  <c r="G144" i="1"/>
  <c r="I144" i="1"/>
  <c r="AO144" i="1" l="1"/>
  <c r="B145" i="1"/>
  <c r="S252" i="1"/>
  <c r="AF145" i="1" l="1"/>
  <c r="AG145" i="1"/>
  <c r="AH145" i="1" s="1"/>
  <c r="C145" i="1"/>
  <c r="T252" i="1"/>
  <c r="U252" i="1" s="1"/>
  <c r="AM145" i="1" l="1"/>
  <c r="AN145" i="1" s="1"/>
  <c r="AI145" i="1"/>
  <c r="AJ145" i="1" s="1"/>
  <c r="AK145" i="1"/>
  <c r="AL145" i="1" s="1"/>
  <c r="D145" i="1"/>
  <c r="E145" i="1" s="1"/>
  <c r="S145" i="1"/>
  <c r="T145" i="1" s="1"/>
  <c r="U145" i="1" s="1"/>
  <c r="AP145" i="1" l="1"/>
  <c r="H145" i="1"/>
  <c r="F145" i="1"/>
  <c r="M145" i="1" l="1"/>
  <c r="L145" i="1" s="1"/>
  <c r="J146" i="1" s="1"/>
  <c r="K146" i="1" s="1"/>
  <c r="AQ146" i="1" s="1"/>
  <c r="G145" i="1"/>
  <c r="I145" i="1"/>
  <c r="S253" i="1"/>
  <c r="AO145" i="1" l="1"/>
  <c r="B146" i="1"/>
  <c r="T253" i="1"/>
  <c r="U253" i="1" s="1"/>
  <c r="AF146" i="1" l="1"/>
  <c r="AG146" i="1"/>
  <c r="AH146" i="1" s="1"/>
  <c r="C146" i="1"/>
  <c r="S146" i="1" l="1"/>
  <c r="T146" i="1" s="1"/>
  <c r="U146" i="1" s="1"/>
  <c r="D146" i="1"/>
  <c r="E146" i="1" s="1"/>
  <c r="AK146" i="1"/>
  <c r="AL146" i="1" s="1"/>
  <c r="AI146" i="1"/>
  <c r="AJ146" i="1" s="1"/>
  <c r="AM146" i="1"/>
  <c r="AN146" i="1" s="1"/>
  <c r="AP146" i="1" l="1"/>
  <c r="H146" i="1"/>
  <c r="F146" i="1"/>
  <c r="S254" i="1"/>
  <c r="M146" i="1" l="1"/>
  <c r="L146" i="1" s="1"/>
  <c r="J147" i="1" s="1"/>
  <c r="K147" i="1" s="1"/>
  <c r="AQ147" i="1" s="1"/>
  <c r="I146" i="1"/>
  <c r="G146" i="1"/>
  <c r="T254" i="1"/>
  <c r="U254" i="1" s="1"/>
  <c r="AO146" i="1" l="1"/>
  <c r="B147" i="1"/>
  <c r="AF147" i="1" l="1"/>
  <c r="C147" i="1"/>
  <c r="AG147" i="1"/>
  <c r="AH147" i="1" s="1"/>
  <c r="AI147" i="1" l="1"/>
  <c r="AJ147" i="1" s="1"/>
  <c r="AM147" i="1"/>
  <c r="AN147" i="1" s="1"/>
  <c r="AK147" i="1"/>
  <c r="AL147" i="1" s="1"/>
  <c r="D147" i="1"/>
  <c r="E147" i="1" s="1"/>
  <c r="S147" i="1"/>
  <c r="T147" i="1" s="1"/>
  <c r="U147" i="1" s="1"/>
  <c r="S255" i="1"/>
  <c r="AP147" i="1" l="1"/>
  <c r="H147" i="1"/>
  <c r="F147" i="1"/>
  <c r="T255" i="1"/>
  <c r="U255" i="1" s="1"/>
  <c r="M147" i="1" l="1"/>
  <c r="L147" i="1" s="1"/>
  <c r="J148" i="1" s="1"/>
  <c r="K148" i="1" s="1"/>
  <c r="AQ148" i="1" s="1"/>
  <c r="G147" i="1"/>
  <c r="I147" i="1"/>
  <c r="AO147" i="1" l="1"/>
  <c r="B148" i="1"/>
  <c r="AF148" i="1" l="1"/>
  <c r="C148" i="1"/>
  <c r="AG148" i="1"/>
  <c r="AH148" i="1" s="1"/>
  <c r="S256" i="1"/>
  <c r="AK148" i="1" l="1"/>
  <c r="AL148" i="1" s="1"/>
  <c r="AM148" i="1"/>
  <c r="AN148" i="1" s="1"/>
  <c r="AI148" i="1"/>
  <c r="AJ148" i="1" s="1"/>
  <c r="D148" i="1"/>
  <c r="E148" i="1" s="1"/>
  <c r="S148" i="1"/>
  <c r="T148" i="1" s="1"/>
  <c r="U148" i="1" s="1"/>
  <c r="T256" i="1"/>
  <c r="U256" i="1" s="1"/>
  <c r="AP148" i="1" l="1"/>
  <c r="H148" i="1"/>
  <c r="F148" i="1"/>
  <c r="M148" i="1" l="1"/>
  <c r="L148" i="1" s="1"/>
  <c r="J149" i="1" s="1"/>
  <c r="K149" i="1" s="1"/>
  <c r="AQ149" i="1" s="1"/>
  <c r="I148" i="1"/>
  <c r="G148" i="1"/>
  <c r="AO148" i="1" l="1"/>
  <c r="B149" i="1"/>
  <c r="S257" i="1"/>
  <c r="AG149" i="1" l="1"/>
  <c r="AH149" i="1" s="1"/>
  <c r="C149" i="1"/>
  <c r="AF149" i="1"/>
  <c r="T257" i="1"/>
  <c r="U257" i="1" s="1"/>
  <c r="D149" i="1" l="1"/>
  <c r="E149" i="1" s="1"/>
  <c r="S149" i="1"/>
  <c r="T149" i="1" s="1"/>
  <c r="U149" i="1" s="1"/>
  <c r="AI149" i="1"/>
  <c r="AJ149" i="1" s="1"/>
  <c r="AM149" i="1"/>
  <c r="AN149" i="1" s="1"/>
  <c r="AK149" i="1"/>
  <c r="AL149" i="1" s="1"/>
  <c r="AP149" i="1" l="1"/>
  <c r="H149" i="1"/>
  <c r="F149" i="1"/>
  <c r="M149" i="1" l="1"/>
  <c r="L149" i="1" s="1"/>
  <c r="J150" i="1" s="1"/>
  <c r="K150" i="1" s="1"/>
  <c r="AQ150" i="1" s="1"/>
  <c r="G149" i="1"/>
  <c r="I149" i="1"/>
  <c r="S258" i="1"/>
  <c r="AO149" i="1" l="1"/>
  <c r="B150" i="1"/>
  <c r="T258" i="1"/>
  <c r="U258" i="1" s="1"/>
  <c r="AF150" i="1" l="1"/>
  <c r="C150" i="1"/>
  <c r="AG150" i="1"/>
  <c r="AH150" i="1" s="1"/>
  <c r="AI150" i="1" l="1"/>
  <c r="AJ150" i="1" s="1"/>
  <c r="AM150" i="1"/>
  <c r="AN150" i="1" s="1"/>
  <c r="AK150" i="1"/>
  <c r="AL150" i="1" s="1"/>
  <c r="D150" i="1"/>
  <c r="E150" i="1" s="1"/>
  <c r="S150" i="1"/>
  <c r="T150" i="1" s="1"/>
  <c r="U150" i="1" s="1"/>
  <c r="H150" i="1" l="1"/>
  <c r="F150" i="1"/>
  <c r="AP150" i="1"/>
  <c r="S259" i="1"/>
  <c r="M150" i="1" l="1"/>
  <c r="L150" i="1" s="1"/>
  <c r="J151" i="1" s="1"/>
  <c r="K151" i="1" s="1"/>
  <c r="AQ151" i="1" s="1"/>
  <c r="G150" i="1"/>
  <c r="I150" i="1"/>
  <c r="T259" i="1"/>
  <c r="U259" i="1" s="1"/>
  <c r="AO150" i="1" l="1"/>
  <c r="B151" i="1"/>
  <c r="AF151" i="1" l="1"/>
  <c r="C151" i="1"/>
  <c r="AG151" i="1"/>
  <c r="AH151" i="1" s="1"/>
  <c r="AK151" i="1" l="1"/>
  <c r="AL151" i="1" s="1"/>
  <c r="AM151" i="1"/>
  <c r="AN151" i="1" s="1"/>
  <c r="AI151" i="1"/>
  <c r="AJ151" i="1" s="1"/>
  <c r="D151" i="1"/>
  <c r="E151" i="1" s="1"/>
  <c r="S151" i="1"/>
  <c r="T151" i="1" s="1"/>
  <c r="U151" i="1" s="1"/>
  <c r="S260" i="1"/>
  <c r="AP151" i="1" l="1"/>
  <c r="H151" i="1"/>
  <c r="F151" i="1"/>
  <c r="T260" i="1"/>
  <c r="U260" i="1" s="1"/>
  <c r="M151" i="1" l="1"/>
  <c r="L151" i="1" s="1"/>
  <c r="J152" i="1" s="1"/>
  <c r="K152" i="1" s="1"/>
  <c r="AQ152" i="1" s="1"/>
  <c r="G151" i="1"/>
  <c r="I151" i="1"/>
  <c r="AO151" i="1" l="1"/>
  <c r="B152" i="1"/>
  <c r="C152" i="1" l="1"/>
  <c r="AG152" i="1"/>
  <c r="AH152" i="1" s="1"/>
  <c r="AF152" i="1"/>
  <c r="S261" i="1"/>
  <c r="AI152" i="1" l="1"/>
  <c r="AJ152" i="1" s="1"/>
  <c r="AK152" i="1"/>
  <c r="AL152" i="1" s="1"/>
  <c r="AM152" i="1"/>
  <c r="AN152" i="1" s="1"/>
  <c r="D152" i="1"/>
  <c r="E152" i="1" s="1"/>
  <c r="S152" i="1"/>
  <c r="T152" i="1" s="1"/>
  <c r="U152" i="1" s="1"/>
  <c r="T261" i="1"/>
  <c r="U261" i="1" s="1"/>
  <c r="AP152" i="1" l="1"/>
  <c r="H152" i="1"/>
  <c r="F152" i="1"/>
  <c r="M152" i="1" l="1"/>
  <c r="L152" i="1" s="1"/>
  <c r="J153" i="1" s="1"/>
  <c r="K153" i="1" s="1"/>
  <c r="AQ153" i="1" s="1"/>
  <c r="I152" i="1"/>
  <c r="G152" i="1"/>
  <c r="AO152" i="1" l="1"/>
  <c r="B153" i="1"/>
  <c r="S262" i="1"/>
  <c r="AF153" i="1" l="1"/>
  <c r="C153" i="1"/>
  <c r="AG153" i="1"/>
  <c r="AH153" i="1" s="1"/>
  <c r="T262" i="1"/>
  <c r="U262" i="1" s="1"/>
  <c r="D153" i="1" l="1"/>
  <c r="E153" i="1" s="1"/>
  <c r="S153" i="1"/>
  <c r="T153" i="1" s="1"/>
  <c r="U153" i="1" s="1"/>
  <c r="AM153" i="1"/>
  <c r="AN153" i="1" s="1"/>
  <c r="AI153" i="1"/>
  <c r="AJ153" i="1" s="1"/>
  <c r="AK153" i="1"/>
  <c r="AL153" i="1" s="1"/>
  <c r="AP153" i="1" l="1"/>
  <c r="H153" i="1"/>
  <c r="F153" i="1"/>
  <c r="M153" i="1" l="1"/>
  <c r="L153" i="1" s="1"/>
  <c r="J154" i="1" s="1"/>
  <c r="K154" i="1" s="1"/>
  <c r="AQ154" i="1" s="1"/>
  <c r="I153" i="1"/>
  <c r="G153" i="1"/>
  <c r="S156" i="1"/>
  <c r="S263" i="1"/>
  <c r="AO153" i="1" l="1"/>
  <c r="B154" i="1"/>
  <c r="T263" i="1"/>
  <c r="U263" i="1" s="1"/>
  <c r="T156" i="1"/>
  <c r="U156" i="1" s="1"/>
  <c r="AF154" i="1" l="1"/>
  <c r="AG154" i="1"/>
  <c r="AH154" i="1" s="1"/>
  <c r="C154" i="1"/>
  <c r="D154" i="1" l="1"/>
  <c r="E154" i="1" s="1"/>
  <c r="S154" i="1"/>
  <c r="T154" i="1" s="1"/>
  <c r="U154" i="1" s="1"/>
  <c r="AM154" i="1"/>
  <c r="AN154" i="1" s="1"/>
  <c r="AK154" i="1"/>
  <c r="AL154" i="1" s="1"/>
  <c r="AI154" i="1"/>
  <c r="AJ154" i="1" s="1"/>
  <c r="AP154" i="1" l="1"/>
  <c r="H154" i="1"/>
  <c r="F154" i="1"/>
  <c r="S264" i="1"/>
  <c r="M154" i="1" l="1"/>
  <c r="L154" i="1" s="1"/>
  <c r="J155" i="1" s="1"/>
  <c r="K155" i="1" s="1"/>
  <c r="AQ155" i="1" s="1"/>
  <c r="I154" i="1"/>
  <c r="G154" i="1"/>
  <c r="T264" i="1"/>
  <c r="U264" i="1" s="1"/>
  <c r="S157" i="1"/>
  <c r="AO154" i="1" l="1"/>
  <c r="B155" i="1"/>
  <c r="T157" i="1"/>
  <c r="U157" i="1" s="1"/>
  <c r="AF155" i="1" l="1"/>
  <c r="C155" i="1"/>
  <c r="AG155" i="1"/>
  <c r="AH155" i="1" s="1"/>
  <c r="S155" i="1" l="1"/>
  <c r="T155" i="1" s="1"/>
  <c r="U155" i="1" s="1"/>
  <c r="D155" i="1"/>
  <c r="E155" i="1" s="1"/>
  <c r="AI155" i="1"/>
  <c r="AJ155" i="1" s="1"/>
  <c r="AK155" i="1"/>
  <c r="AL155" i="1" s="1"/>
  <c r="AM155" i="1"/>
  <c r="AN155" i="1" s="1"/>
  <c r="S265" i="1"/>
  <c r="AP155" i="1" l="1"/>
  <c r="H155" i="1"/>
  <c r="F155" i="1"/>
  <c r="T265" i="1"/>
  <c r="U265" i="1" s="1"/>
  <c r="M155" i="1" l="1"/>
  <c r="L155" i="1" s="1"/>
  <c r="J156" i="1" s="1"/>
  <c r="K156" i="1" s="1"/>
  <c r="AQ156" i="1" s="1"/>
  <c r="G155" i="1"/>
  <c r="I155" i="1"/>
  <c r="S158" i="1"/>
  <c r="AO155" i="1" l="1"/>
  <c r="B156" i="1"/>
  <c r="T158" i="1"/>
  <c r="U158" i="1" s="1"/>
  <c r="AG156" i="1" l="1"/>
  <c r="AH156" i="1" s="1"/>
  <c r="AF156" i="1"/>
  <c r="C156" i="1"/>
  <c r="D156" i="1" s="1"/>
  <c r="E156" i="1" s="1"/>
  <c r="H156" i="1" s="1"/>
  <c r="S266" i="1"/>
  <c r="M156" i="1" l="1"/>
  <c r="L156" i="1" s="1"/>
  <c r="J157" i="1" s="1"/>
  <c r="K157" i="1" s="1"/>
  <c r="AQ157" i="1" s="1"/>
  <c r="I156" i="1"/>
  <c r="F156" i="1"/>
  <c r="G156" i="1" s="1"/>
  <c r="AI156" i="1"/>
  <c r="AJ156" i="1" s="1"/>
  <c r="AK156" i="1"/>
  <c r="AL156" i="1" s="1"/>
  <c r="AM156" i="1"/>
  <c r="AN156" i="1" s="1"/>
  <c r="T266" i="1"/>
  <c r="U266" i="1" s="1"/>
  <c r="AO156" i="1" l="1"/>
  <c r="B157" i="1"/>
  <c r="AP156" i="1"/>
  <c r="AF157" i="1" l="1"/>
  <c r="C157" i="1"/>
  <c r="D157" i="1" s="1"/>
  <c r="E157" i="1" s="1"/>
  <c r="H157" i="1" s="1"/>
  <c r="AG157" i="1"/>
  <c r="AH157" i="1" s="1"/>
  <c r="S159" i="1"/>
  <c r="F157" i="1" l="1"/>
  <c r="G157" i="1" s="1"/>
  <c r="AM157" i="1"/>
  <c r="AN157" i="1" s="1"/>
  <c r="AK157" i="1"/>
  <c r="AL157" i="1" s="1"/>
  <c r="AI157" i="1"/>
  <c r="AJ157" i="1" s="1"/>
  <c r="M157" i="1"/>
  <c r="L157" i="1" s="1"/>
  <c r="J158" i="1" s="1"/>
  <c r="K158" i="1" s="1"/>
  <c r="AQ158" i="1" s="1"/>
  <c r="I157" i="1"/>
  <c r="T159" i="1"/>
  <c r="U159" i="1" s="1"/>
  <c r="S267" i="1"/>
  <c r="AP157" i="1" l="1"/>
  <c r="AO157" i="1"/>
  <c r="B158" i="1"/>
  <c r="T267" i="1"/>
  <c r="U267" i="1" s="1"/>
  <c r="AF158" i="1" l="1"/>
  <c r="AG158" i="1"/>
  <c r="AH158" i="1" s="1"/>
  <c r="C158" i="1"/>
  <c r="D158" i="1" s="1"/>
  <c r="E158" i="1" s="1"/>
  <c r="H158" i="1" s="1"/>
  <c r="M158" i="1" l="1"/>
  <c r="L158" i="1" s="1"/>
  <c r="J159" i="1" s="1"/>
  <c r="K159" i="1" s="1"/>
  <c r="AQ159" i="1" s="1"/>
  <c r="I158" i="1"/>
  <c r="AM158" i="1"/>
  <c r="AN158" i="1" s="1"/>
  <c r="AK158" i="1"/>
  <c r="AL158" i="1" s="1"/>
  <c r="AI158" i="1"/>
  <c r="AJ158" i="1" s="1"/>
  <c r="F158" i="1"/>
  <c r="G158" i="1" s="1"/>
  <c r="AP158" i="1" l="1"/>
  <c r="AO158" i="1"/>
  <c r="B159" i="1"/>
  <c r="S160" i="1"/>
  <c r="S268" i="1"/>
  <c r="C159" i="1" l="1"/>
  <c r="D159" i="1" s="1"/>
  <c r="E159" i="1" s="1"/>
  <c r="H159" i="1" s="1"/>
  <c r="AG159" i="1"/>
  <c r="AH159" i="1" s="1"/>
  <c r="AF159" i="1"/>
  <c r="T160" i="1"/>
  <c r="U160" i="1" s="1"/>
  <c r="T268" i="1"/>
  <c r="U268" i="1" s="1"/>
  <c r="F159" i="1" l="1"/>
  <c r="G159" i="1" s="1"/>
  <c r="AM159" i="1"/>
  <c r="AN159" i="1" s="1"/>
  <c r="AK159" i="1"/>
  <c r="AL159" i="1" s="1"/>
  <c r="AI159" i="1"/>
  <c r="AJ159" i="1" s="1"/>
  <c r="M159" i="1"/>
  <c r="L159" i="1" s="1"/>
  <c r="J160" i="1" s="1"/>
  <c r="K160" i="1" s="1"/>
  <c r="AQ160" i="1" s="1"/>
  <c r="I159" i="1"/>
  <c r="AP159" i="1" l="1"/>
  <c r="AO159" i="1"/>
  <c r="B160" i="1"/>
  <c r="AF160" i="1" l="1"/>
  <c r="AG160" i="1"/>
  <c r="AH160" i="1" s="1"/>
  <c r="C160" i="1"/>
  <c r="D160" i="1" s="1"/>
  <c r="E160" i="1" s="1"/>
  <c r="H160" i="1" s="1"/>
  <c r="S269" i="1"/>
  <c r="F160" i="1" l="1"/>
  <c r="G160" i="1" s="1"/>
  <c r="AM160" i="1"/>
  <c r="AN160" i="1" s="1"/>
  <c r="AI160" i="1"/>
  <c r="AJ160" i="1" s="1"/>
  <c r="AK160" i="1"/>
  <c r="AL160" i="1" s="1"/>
  <c r="M160" i="1"/>
  <c r="L160" i="1" s="1"/>
  <c r="J161" i="1" s="1"/>
  <c r="K161" i="1" s="1"/>
  <c r="AQ161" i="1" s="1"/>
  <c r="I160" i="1"/>
  <c r="T269" i="1"/>
  <c r="U269" i="1" s="1"/>
  <c r="S161" i="1"/>
  <c r="AP160" i="1" l="1"/>
  <c r="B161" i="1"/>
  <c r="AO160" i="1"/>
  <c r="T161" i="1"/>
  <c r="U161" i="1" s="1"/>
  <c r="AG161" i="1" l="1"/>
  <c r="AH161" i="1" s="1"/>
  <c r="C161" i="1"/>
  <c r="D161" i="1" s="1"/>
  <c r="E161" i="1" s="1"/>
  <c r="AF161" i="1"/>
  <c r="H161" i="1" l="1"/>
  <c r="F161" i="1"/>
  <c r="AK161" i="1"/>
  <c r="AL161" i="1" s="1"/>
  <c r="AI161" i="1"/>
  <c r="AJ161" i="1" s="1"/>
  <c r="AM161" i="1"/>
  <c r="AN161" i="1" s="1"/>
  <c r="S270" i="1"/>
  <c r="AP161" i="1" l="1"/>
  <c r="M161" i="1"/>
  <c r="L161" i="1" s="1"/>
  <c r="J162" i="1" s="1"/>
  <c r="K162" i="1" s="1"/>
  <c r="AQ162" i="1" s="1"/>
  <c r="I161" i="1"/>
  <c r="G161" i="1"/>
  <c r="T270" i="1"/>
  <c r="U270" i="1" s="1"/>
  <c r="AO161" i="1" l="1"/>
  <c r="B162" i="1"/>
  <c r="S162" i="1"/>
  <c r="C162" i="1" l="1"/>
  <c r="D162" i="1" s="1"/>
  <c r="E162" i="1" s="1"/>
  <c r="F162" i="1" s="1"/>
  <c r="AG162" i="1"/>
  <c r="AH162" i="1" s="1"/>
  <c r="AF162" i="1"/>
  <c r="T162" i="1"/>
  <c r="U162" i="1" s="1"/>
  <c r="H162" i="1" l="1"/>
  <c r="M162" i="1" s="1"/>
  <c r="L162" i="1" s="1"/>
  <c r="J163" i="1" s="1"/>
  <c r="K163" i="1" s="1"/>
  <c r="AM162" i="1"/>
  <c r="AN162" i="1" s="1"/>
  <c r="AI162" i="1"/>
  <c r="AJ162" i="1" s="1"/>
  <c r="AK162" i="1"/>
  <c r="AL162" i="1" s="1"/>
  <c r="S271" i="1"/>
  <c r="I162" i="1" l="1"/>
  <c r="G162" i="1"/>
  <c r="AP162" i="1"/>
  <c r="T271" i="1"/>
  <c r="U271" i="1" s="1"/>
  <c r="AQ163" i="1"/>
  <c r="AO162" i="1"/>
  <c r="B163" i="1"/>
  <c r="AF163" i="1" l="1"/>
  <c r="C163" i="1"/>
  <c r="AG163" i="1"/>
  <c r="AH163" i="1" s="1"/>
  <c r="AI163" i="1" l="1"/>
  <c r="AJ163" i="1" s="1"/>
  <c r="AK163" i="1"/>
  <c r="AL163" i="1" s="1"/>
  <c r="AM163" i="1"/>
  <c r="AN163" i="1" s="1"/>
  <c r="D163" i="1"/>
  <c r="E163" i="1" s="1"/>
  <c r="S163" i="1"/>
  <c r="T163" i="1" l="1"/>
  <c r="U163" i="1" s="1"/>
  <c r="AP163" i="1"/>
  <c r="H163" i="1"/>
  <c r="M163" i="1" s="1"/>
  <c r="F163" i="1"/>
  <c r="S272" i="1"/>
  <c r="T272" i="1" l="1"/>
  <c r="U272" i="1" s="1"/>
  <c r="I163" i="1"/>
  <c r="L163" i="1"/>
  <c r="J164" i="1" s="1"/>
  <c r="K164" i="1" s="1"/>
  <c r="G163" i="1"/>
  <c r="AQ164" i="1" l="1"/>
  <c r="AO163" i="1"/>
  <c r="B164" i="1"/>
  <c r="AF164" i="1" l="1"/>
  <c r="C164" i="1"/>
  <c r="AG164" i="1"/>
  <c r="AH164" i="1" s="1"/>
  <c r="AK164" i="1" l="1"/>
  <c r="AL164" i="1" s="1"/>
  <c r="AM164" i="1"/>
  <c r="AN164" i="1" s="1"/>
  <c r="AI164" i="1"/>
  <c r="AJ164" i="1" s="1"/>
  <c r="D164" i="1"/>
  <c r="E164" i="1" s="1"/>
  <c r="S164" i="1"/>
  <c r="S273" i="1"/>
  <c r="T273" i="1" l="1"/>
  <c r="U273" i="1" s="1"/>
  <c r="T164" i="1"/>
  <c r="U164" i="1" s="1"/>
  <c r="AP164" i="1"/>
  <c r="H164" i="1"/>
  <c r="M164" i="1" s="1"/>
  <c r="F164" i="1"/>
  <c r="G164" i="1" l="1"/>
  <c r="I164" i="1"/>
  <c r="L164" i="1"/>
  <c r="J165" i="1" s="1"/>
  <c r="K165" i="1" s="1"/>
  <c r="AQ165" i="1" l="1"/>
  <c r="AO164" i="1"/>
  <c r="B165" i="1"/>
  <c r="AF165" i="1" l="1"/>
  <c r="C165" i="1"/>
  <c r="AG165" i="1"/>
  <c r="AH165" i="1" s="1"/>
  <c r="S274" i="1"/>
  <c r="T274" i="1" l="1"/>
  <c r="U274" i="1" s="1"/>
  <c r="AM165" i="1"/>
  <c r="AN165" i="1" s="1"/>
  <c r="AI165" i="1"/>
  <c r="AJ165" i="1" s="1"/>
  <c r="AK165" i="1"/>
  <c r="AL165" i="1" s="1"/>
  <c r="D165" i="1"/>
  <c r="E165" i="1" s="1"/>
  <c r="S165" i="1"/>
  <c r="T165" i="1" l="1"/>
  <c r="U165" i="1" s="1"/>
  <c r="AP165" i="1"/>
  <c r="H165" i="1"/>
  <c r="M165" i="1" s="1"/>
  <c r="F165" i="1"/>
  <c r="I165" i="1" l="1"/>
  <c r="G165" i="1"/>
  <c r="L165" i="1"/>
  <c r="J166" i="1" s="1"/>
  <c r="K166" i="1" s="1"/>
  <c r="AQ166" i="1" l="1"/>
  <c r="AO165" i="1"/>
  <c r="B166" i="1"/>
  <c r="S275" i="1"/>
  <c r="T275" i="1" l="1"/>
  <c r="U275" i="1" s="1"/>
  <c r="AF166" i="1"/>
  <c r="C166" i="1"/>
  <c r="AG166" i="1"/>
  <c r="AH166" i="1" s="1"/>
  <c r="AI166" i="1" l="1"/>
  <c r="AJ166" i="1" s="1"/>
  <c r="AK166" i="1"/>
  <c r="AL166" i="1" s="1"/>
  <c r="AM166" i="1"/>
  <c r="AN166" i="1" s="1"/>
  <c r="D166" i="1"/>
  <c r="E166" i="1" s="1"/>
  <c r="S166" i="1"/>
  <c r="T166" i="1" l="1"/>
  <c r="U166" i="1" s="1"/>
  <c r="AP166" i="1"/>
  <c r="H166" i="1"/>
  <c r="M166" i="1" s="1"/>
  <c r="F166" i="1"/>
  <c r="G166" i="1" l="1"/>
  <c r="I166" i="1"/>
  <c r="L166" i="1"/>
  <c r="J167" i="1" s="1"/>
  <c r="K167" i="1" s="1"/>
  <c r="S276" i="1"/>
  <c r="T276" i="1" l="1"/>
  <c r="U276" i="1" s="1"/>
  <c r="AQ167" i="1"/>
  <c r="AO166" i="1"/>
  <c r="B167" i="1"/>
  <c r="AF167" i="1" l="1"/>
  <c r="AG167" i="1"/>
  <c r="AH167" i="1" s="1"/>
  <c r="C167" i="1"/>
  <c r="AK167" i="1" l="1"/>
  <c r="AL167" i="1" s="1"/>
  <c r="AM167" i="1"/>
  <c r="AN167" i="1" s="1"/>
  <c r="AI167" i="1"/>
  <c r="AJ167" i="1" s="1"/>
  <c r="D167" i="1"/>
  <c r="E167" i="1" s="1"/>
  <c r="S167" i="1"/>
  <c r="T167" i="1" l="1"/>
  <c r="U167" i="1" s="1"/>
  <c r="AP167" i="1"/>
  <c r="H167" i="1"/>
  <c r="M167" i="1" s="1"/>
  <c r="F167" i="1"/>
  <c r="S277" i="1"/>
  <c r="T277" i="1" l="1"/>
  <c r="U277" i="1" s="1"/>
  <c r="G167" i="1"/>
  <c r="I167" i="1"/>
  <c r="L167" i="1"/>
  <c r="J168" i="1" s="1"/>
  <c r="K168" i="1" s="1"/>
  <c r="AQ168" i="1" l="1"/>
  <c r="AO167" i="1"/>
  <c r="B168" i="1"/>
  <c r="AF168" i="1" l="1"/>
  <c r="C168" i="1"/>
  <c r="AG168" i="1"/>
  <c r="AH168" i="1" s="1"/>
  <c r="AK168" i="1" l="1"/>
  <c r="AL168" i="1" s="1"/>
  <c r="AM168" i="1"/>
  <c r="AN168" i="1" s="1"/>
  <c r="AI168" i="1"/>
  <c r="AJ168" i="1" s="1"/>
  <c r="D168" i="1"/>
  <c r="E168" i="1" s="1"/>
  <c r="S168" i="1"/>
  <c r="S278" i="1"/>
  <c r="T278" i="1" l="1"/>
  <c r="U278" i="1" s="1"/>
  <c r="T168" i="1"/>
  <c r="U168" i="1" s="1"/>
  <c r="AP168" i="1"/>
  <c r="H168" i="1"/>
  <c r="M168" i="1" s="1"/>
  <c r="F168" i="1"/>
  <c r="G168" i="1" l="1"/>
  <c r="I168" i="1"/>
  <c r="L168" i="1"/>
  <c r="J169" i="1" s="1"/>
  <c r="K169" i="1" s="1"/>
  <c r="AQ169" i="1" l="1"/>
  <c r="AO168" i="1"/>
  <c r="B169" i="1"/>
  <c r="AF169" i="1" l="1"/>
  <c r="C169" i="1"/>
  <c r="AG169" i="1"/>
  <c r="AH169" i="1" s="1"/>
  <c r="S279" i="1"/>
  <c r="T279" i="1" l="1"/>
  <c r="U279" i="1" s="1"/>
  <c r="AI169" i="1"/>
  <c r="AJ169" i="1" s="1"/>
  <c r="AK169" i="1"/>
  <c r="AL169" i="1" s="1"/>
  <c r="AM169" i="1"/>
  <c r="AN169" i="1" s="1"/>
  <c r="D169" i="1"/>
  <c r="E169" i="1" s="1"/>
  <c r="S169" i="1"/>
  <c r="T169" i="1" l="1"/>
  <c r="U169" i="1" s="1"/>
  <c r="AP169" i="1"/>
  <c r="H169" i="1"/>
  <c r="M169" i="1" s="1"/>
  <c r="F169" i="1"/>
  <c r="I169" i="1" l="1"/>
  <c r="L169" i="1"/>
  <c r="J170" i="1" s="1"/>
  <c r="K170" i="1" s="1"/>
  <c r="G169" i="1"/>
  <c r="AQ170" i="1" l="1"/>
  <c r="AO169" i="1"/>
  <c r="B170" i="1"/>
  <c r="S280" i="1"/>
  <c r="T280" i="1" l="1"/>
  <c r="U280" i="1" s="1"/>
  <c r="AF170" i="1"/>
  <c r="AG170" i="1"/>
  <c r="AH170" i="1" s="1"/>
  <c r="C170" i="1"/>
  <c r="AK170" i="1" l="1"/>
  <c r="AL170" i="1" s="1"/>
  <c r="AM170" i="1"/>
  <c r="AN170" i="1" s="1"/>
  <c r="AI170" i="1"/>
  <c r="AJ170" i="1" s="1"/>
  <c r="D170" i="1"/>
  <c r="E170" i="1" s="1"/>
  <c r="S170" i="1"/>
  <c r="T170" i="1" l="1"/>
  <c r="U170" i="1" s="1"/>
  <c r="AP170" i="1"/>
  <c r="H170" i="1"/>
  <c r="M170" i="1" s="1"/>
  <c r="F170" i="1"/>
  <c r="G170" i="1" l="1"/>
  <c r="L170" i="1"/>
  <c r="J171" i="1" s="1"/>
  <c r="K171" i="1" s="1"/>
  <c r="I170" i="1"/>
  <c r="S281" i="1"/>
  <c r="T281" i="1" l="1"/>
  <c r="U281" i="1" s="1"/>
  <c r="AQ171" i="1"/>
  <c r="AO170" i="1"/>
  <c r="B171" i="1"/>
  <c r="AF171" i="1" l="1"/>
  <c r="AG171" i="1"/>
  <c r="AH171" i="1" s="1"/>
  <c r="C171" i="1"/>
  <c r="AI171" i="1" l="1"/>
  <c r="AJ171" i="1" s="1"/>
  <c r="AK171" i="1"/>
  <c r="AL171" i="1" s="1"/>
  <c r="AM171" i="1"/>
  <c r="AN171" i="1" s="1"/>
  <c r="D171" i="1"/>
  <c r="E171" i="1" s="1"/>
  <c r="S171" i="1"/>
  <c r="T171" i="1" l="1"/>
  <c r="U171" i="1" s="1"/>
  <c r="AP171" i="1"/>
  <c r="H171" i="1"/>
  <c r="M171" i="1" s="1"/>
  <c r="F171" i="1"/>
  <c r="S282" i="1"/>
  <c r="T282" i="1" l="1"/>
  <c r="U282" i="1" s="1"/>
  <c r="G171" i="1"/>
  <c r="L171" i="1"/>
  <c r="J172" i="1" s="1"/>
  <c r="K172" i="1" s="1"/>
  <c r="I171" i="1"/>
  <c r="AQ172" i="1" l="1"/>
  <c r="AO171" i="1"/>
  <c r="B172" i="1"/>
  <c r="AF172" i="1" l="1"/>
  <c r="C172" i="1"/>
  <c r="AG172" i="1"/>
  <c r="AH172" i="1" s="1"/>
  <c r="AM172" i="1" l="1"/>
  <c r="AN172" i="1" s="1"/>
  <c r="AK172" i="1"/>
  <c r="AL172" i="1" s="1"/>
  <c r="AI172" i="1"/>
  <c r="AJ172" i="1" s="1"/>
  <c r="D172" i="1"/>
  <c r="E172" i="1" s="1"/>
  <c r="S172" i="1"/>
  <c r="S283" i="1"/>
  <c r="T172" i="1" l="1"/>
  <c r="U172" i="1" s="1"/>
  <c r="T283" i="1"/>
  <c r="U283" i="1" s="1"/>
  <c r="AP172" i="1"/>
  <c r="H172" i="1"/>
  <c r="M172" i="1" s="1"/>
  <c r="F172" i="1"/>
  <c r="G172" i="1" l="1"/>
  <c r="I172" i="1"/>
  <c r="L172" i="1"/>
  <c r="J173" i="1" s="1"/>
  <c r="K173" i="1" s="1"/>
  <c r="AQ173" i="1" l="1"/>
  <c r="AO172" i="1"/>
  <c r="B173" i="1"/>
  <c r="AF173" i="1" l="1"/>
  <c r="C173" i="1"/>
  <c r="AG173" i="1"/>
  <c r="AH173" i="1" s="1"/>
  <c r="S284" i="1"/>
  <c r="T284" i="1" l="1"/>
  <c r="U284" i="1" s="1"/>
  <c r="AI173" i="1"/>
  <c r="AJ173" i="1" s="1"/>
  <c r="AM173" i="1"/>
  <c r="AN173" i="1" s="1"/>
  <c r="AK173" i="1"/>
  <c r="AL173" i="1" s="1"/>
  <c r="D173" i="1"/>
  <c r="E173" i="1" s="1"/>
  <c r="S173" i="1"/>
  <c r="T173" i="1" l="1"/>
  <c r="U173" i="1" s="1"/>
  <c r="AP173" i="1"/>
  <c r="H173" i="1"/>
  <c r="M173" i="1" s="1"/>
  <c r="F173" i="1"/>
  <c r="G173" i="1" l="1"/>
  <c r="L173" i="1"/>
  <c r="J174" i="1" s="1"/>
  <c r="K174" i="1" s="1"/>
  <c r="I173" i="1"/>
  <c r="AQ174" i="1" l="1"/>
  <c r="AO173" i="1"/>
  <c r="B174" i="1"/>
  <c r="S285" i="1"/>
  <c r="T285" i="1" l="1"/>
  <c r="U285" i="1" s="1"/>
  <c r="AF174" i="1"/>
  <c r="C174" i="1"/>
  <c r="AG174" i="1"/>
  <c r="AH174" i="1" s="1"/>
  <c r="AM174" i="1" l="1"/>
  <c r="AN174" i="1" s="1"/>
  <c r="AI174" i="1"/>
  <c r="AJ174" i="1" s="1"/>
  <c r="AK174" i="1"/>
  <c r="AL174" i="1" s="1"/>
  <c r="D174" i="1"/>
  <c r="E174" i="1" s="1"/>
  <c r="S174" i="1"/>
  <c r="T174" i="1" l="1"/>
  <c r="U174" i="1" s="1"/>
  <c r="AP174" i="1"/>
  <c r="H174" i="1"/>
  <c r="M174" i="1" s="1"/>
  <c r="F174" i="1"/>
  <c r="L174" i="1" l="1"/>
  <c r="J175" i="1" s="1"/>
  <c r="K175" i="1" s="1"/>
  <c r="G174" i="1"/>
  <c r="I174" i="1"/>
  <c r="S286" i="1"/>
  <c r="T286" i="1" l="1"/>
  <c r="U286" i="1" s="1"/>
  <c r="AQ175" i="1"/>
  <c r="AO174" i="1"/>
  <c r="B175" i="1"/>
  <c r="AF175" i="1" l="1"/>
  <c r="C175" i="1"/>
  <c r="AG175" i="1"/>
  <c r="AH175" i="1" s="1"/>
  <c r="AK175" i="1" l="1"/>
  <c r="AL175" i="1" s="1"/>
  <c r="AI175" i="1"/>
  <c r="AJ175" i="1" s="1"/>
  <c r="AM175" i="1"/>
  <c r="AN175" i="1" s="1"/>
  <c r="D175" i="1"/>
  <c r="E175" i="1" s="1"/>
  <c r="S175" i="1"/>
  <c r="T175" i="1" l="1"/>
  <c r="U175" i="1" s="1"/>
  <c r="AP175" i="1"/>
  <c r="H175" i="1"/>
  <c r="M175" i="1" s="1"/>
  <c r="F175" i="1"/>
  <c r="S287" i="1"/>
  <c r="T287" i="1" l="1"/>
  <c r="U287" i="1" s="1"/>
  <c r="G175" i="1"/>
  <c r="I175" i="1"/>
  <c r="L175" i="1"/>
  <c r="J176" i="1" s="1"/>
  <c r="K176" i="1" s="1"/>
  <c r="AQ176" i="1" l="1"/>
  <c r="AO175" i="1"/>
  <c r="B176" i="1"/>
  <c r="AF176" i="1" l="1"/>
  <c r="C176" i="1"/>
  <c r="AG176" i="1"/>
  <c r="AH176" i="1" s="1"/>
  <c r="AK176" i="1" l="1"/>
  <c r="AL176" i="1" s="1"/>
  <c r="AI176" i="1"/>
  <c r="AJ176" i="1" s="1"/>
  <c r="AM176" i="1"/>
  <c r="AN176" i="1" s="1"/>
  <c r="D176" i="1"/>
  <c r="E176" i="1" s="1"/>
  <c r="S176" i="1"/>
  <c r="S288" i="1"/>
  <c r="T176" i="1" l="1"/>
  <c r="U176" i="1" s="1"/>
  <c r="T288" i="1"/>
  <c r="U288" i="1" s="1"/>
  <c r="AP176" i="1"/>
  <c r="H176" i="1"/>
  <c r="M176" i="1" s="1"/>
  <c r="F176" i="1"/>
  <c r="L176" i="1" l="1"/>
  <c r="J177" i="1" s="1"/>
  <c r="K177" i="1" s="1"/>
  <c r="I176" i="1"/>
  <c r="G176" i="1"/>
  <c r="AQ177" i="1" l="1"/>
  <c r="AO176" i="1"/>
  <c r="B177" i="1"/>
  <c r="AF177" i="1" l="1"/>
  <c r="C177" i="1"/>
  <c r="AG177" i="1"/>
  <c r="AH177" i="1" s="1"/>
  <c r="S289" i="1"/>
  <c r="T289" i="1" l="1"/>
  <c r="U289" i="1" s="1"/>
  <c r="AK177" i="1"/>
  <c r="AL177" i="1" s="1"/>
  <c r="AM177" i="1"/>
  <c r="AN177" i="1" s="1"/>
  <c r="AI177" i="1"/>
  <c r="AJ177" i="1" s="1"/>
  <c r="D177" i="1"/>
  <c r="E177" i="1" s="1"/>
  <c r="S177" i="1"/>
  <c r="T177" i="1" l="1"/>
  <c r="U177" i="1" s="1"/>
  <c r="AP177" i="1"/>
  <c r="H177" i="1"/>
  <c r="M177" i="1" s="1"/>
  <c r="F177" i="1"/>
  <c r="G177" i="1" l="1"/>
  <c r="L177" i="1"/>
  <c r="J178" i="1" s="1"/>
  <c r="K178" i="1" s="1"/>
  <c r="I177" i="1"/>
  <c r="AQ178" i="1" l="1"/>
  <c r="AO177" i="1"/>
  <c r="B178" i="1"/>
  <c r="S290" i="1"/>
  <c r="T290" i="1" l="1"/>
  <c r="U290" i="1" s="1"/>
  <c r="AF178" i="1"/>
  <c r="C178" i="1"/>
  <c r="AG178" i="1"/>
  <c r="AH178" i="1" s="1"/>
  <c r="AM178" i="1" l="1"/>
  <c r="AN178" i="1" s="1"/>
  <c r="AK178" i="1"/>
  <c r="AL178" i="1" s="1"/>
  <c r="AI178" i="1"/>
  <c r="AJ178" i="1" s="1"/>
  <c r="D178" i="1"/>
  <c r="E178" i="1" s="1"/>
  <c r="S178" i="1"/>
  <c r="T178" i="1" l="1"/>
  <c r="U178" i="1" s="1"/>
  <c r="AP178" i="1"/>
  <c r="H178" i="1"/>
  <c r="M178" i="1" s="1"/>
  <c r="F178" i="1"/>
  <c r="L178" i="1" l="1"/>
  <c r="J179" i="1" s="1"/>
  <c r="K179" i="1" s="1"/>
  <c r="I178" i="1"/>
  <c r="G178" i="1"/>
  <c r="S291" i="1"/>
  <c r="T291" i="1" l="1"/>
  <c r="U291" i="1" s="1"/>
  <c r="AQ179" i="1"/>
  <c r="AO178" i="1"/>
  <c r="B179" i="1"/>
  <c r="AF179" i="1" l="1"/>
  <c r="AG179" i="1"/>
  <c r="AH179" i="1" s="1"/>
  <c r="C179" i="1"/>
  <c r="AI179" i="1" l="1"/>
  <c r="AJ179" i="1" s="1"/>
  <c r="AM179" i="1"/>
  <c r="AN179" i="1" s="1"/>
  <c r="AK179" i="1"/>
  <c r="AL179" i="1" s="1"/>
  <c r="D179" i="1"/>
  <c r="E179" i="1" s="1"/>
  <c r="S179" i="1"/>
  <c r="T179" i="1" l="1"/>
  <c r="U179" i="1" s="1"/>
  <c r="AP179" i="1"/>
  <c r="H179" i="1"/>
  <c r="M179" i="1" s="1"/>
  <c r="F179" i="1"/>
  <c r="S292" i="1"/>
  <c r="T292" i="1" l="1"/>
  <c r="U292" i="1" s="1"/>
  <c r="G179" i="1"/>
  <c r="L179" i="1"/>
  <c r="J180" i="1" s="1"/>
  <c r="K180" i="1" s="1"/>
  <c r="I179" i="1"/>
  <c r="AQ180" i="1" l="1"/>
  <c r="AO179" i="1"/>
  <c r="B180" i="1"/>
  <c r="AF180" i="1" l="1"/>
  <c r="AG180" i="1"/>
  <c r="AH180" i="1" s="1"/>
  <c r="C180" i="1"/>
  <c r="AK180" i="1" l="1"/>
  <c r="AL180" i="1" s="1"/>
  <c r="AM180" i="1"/>
  <c r="AN180" i="1" s="1"/>
  <c r="AI180" i="1"/>
  <c r="AJ180" i="1" s="1"/>
  <c r="D180" i="1"/>
  <c r="E180" i="1" s="1"/>
  <c r="S180" i="1"/>
  <c r="S293" i="1"/>
  <c r="T293" i="1" l="1"/>
  <c r="U293" i="1" s="1"/>
  <c r="T180" i="1"/>
  <c r="U180" i="1" s="1"/>
  <c r="AP180" i="1"/>
  <c r="H180" i="1"/>
  <c r="M180" i="1" s="1"/>
  <c r="F180" i="1"/>
  <c r="G180" i="1" l="1"/>
  <c r="I180" i="1"/>
  <c r="L180" i="1"/>
  <c r="J181" i="1" s="1"/>
  <c r="K181" i="1" s="1"/>
  <c r="AQ181" i="1" l="1"/>
  <c r="AO180" i="1"/>
  <c r="B181" i="1"/>
  <c r="AF181" i="1" l="1"/>
  <c r="AG181" i="1"/>
  <c r="AH181" i="1" s="1"/>
  <c r="C181" i="1"/>
  <c r="S294" i="1"/>
  <c r="T294" i="1" l="1"/>
  <c r="U294" i="1" s="1"/>
  <c r="AI181" i="1"/>
  <c r="AJ181" i="1" s="1"/>
  <c r="AK181" i="1"/>
  <c r="AL181" i="1" s="1"/>
  <c r="AM181" i="1"/>
  <c r="AN181" i="1" s="1"/>
  <c r="D181" i="1"/>
  <c r="E181" i="1" s="1"/>
  <c r="S181" i="1"/>
  <c r="T181" i="1" l="1"/>
  <c r="U181" i="1" s="1"/>
  <c r="AP181" i="1"/>
  <c r="H181" i="1"/>
  <c r="M181" i="1" s="1"/>
  <c r="F181" i="1"/>
  <c r="S295" i="1"/>
  <c r="T295" i="1" l="1"/>
  <c r="U295" i="1" s="1"/>
  <c r="G181" i="1"/>
  <c r="L181" i="1"/>
  <c r="J182" i="1" s="1"/>
  <c r="K182" i="1" s="1"/>
  <c r="I181" i="1"/>
  <c r="AQ182" i="1" l="1"/>
  <c r="AO181" i="1"/>
  <c r="B182" i="1"/>
  <c r="S296" i="1"/>
  <c r="T296" i="1" l="1"/>
  <c r="U296" i="1" s="1"/>
  <c r="AF182" i="1"/>
  <c r="AG182" i="1"/>
  <c r="AH182" i="1" s="1"/>
  <c r="C182" i="1"/>
  <c r="AI182" i="1" l="1"/>
  <c r="AJ182" i="1" s="1"/>
  <c r="AM182" i="1"/>
  <c r="AN182" i="1" s="1"/>
  <c r="AK182" i="1"/>
  <c r="AL182" i="1" s="1"/>
  <c r="D182" i="1"/>
  <c r="E182" i="1" s="1"/>
  <c r="S182" i="1"/>
  <c r="S297" i="1"/>
  <c r="T182" i="1" l="1"/>
  <c r="U182" i="1" s="1"/>
  <c r="T297" i="1"/>
  <c r="U297" i="1" s="1"/>
  <c r="AP182" i="1"/>
  <c r="H182" i="1"/>
  <c r="M182" i="1" s="1"/>
  <c r="F182" i="1"/>
  <c r="L182" i="1" l="1"/>
  <c r="J183" i="1" s="1"/>
  <c r="K183" i="1" s="1"/>
  <c r="I182" i="1"/>
  <c r="G182" i="1"/>
  <c r="S298" i="1"/>
  <c r="T298" i="1" l="1"/>
  <c r="U298" i="1" s="1"/>
  <c r="AQ183" i="1"/>
  <c r="AO182" i="1"/>
  <c r="B183" i="1"/>
  <c r="AF183" i="1" l="1"/>
  <c r="C183" i="1"/>
  <c r="AG183" i="1"/>
  <c r="AH183" i="1" s="1"/>
  <c r="S299" i="1"/>
  <c r="T299" i="1" l="1"/>
  <c r="U299" i="1" s="1"/>
  <c r="AM183" i="1"/>
  <c r="AN183" i="1" s="1"/>
  <c r="AI183" i="1"/>
  <c r="AJ183" i="1" s="1"/>
  <c r="AK183" i="1"/>
  <c r="AL183" i="1" s="1"/>
  <c r="D183" i="1"/>
  <c r="E183" i="1" s="1"/>
  <c r="S183" i="1"/>
  <c r="T183" i="1" l="1"/>
  <c r="U183" i="1" s="1"/>
  <c r="AP183" i="1"/>
  <c r="H183" i="1"/>
  <c r="M183" i="1" s="1"/>
  <c r="F183" i="1"/>
  <c r="S300" i="1"/>
  <c r="T300" i="1" l="1"/>
  <c r="U300" i="1" s="1"/>
  <c r="G183" i="1"/>
  <c r="L183" i="1"/>
  <c r="J184" i="1" s="1"/>
  <c r="K184" i="1" s="1"/>
  <c r="I183" i="1"/>
  <c r="AQ184" i="1" l="1"/>
  <c r="AO183" i="1"/>
  <c r="B184" i="1"/>
  <c r="S301" i="1"/>
  <c r="T301" i="1" l="1"/>
  <c r="U301" i="1" s="1"/>
  <c r="AF184" i="1"/>
  <c r="C184" i="1"/>
  <c r="AG184" i="1"/>
  <c r="AH184" i="1" s="1"/>
  <c r="AM184" i="1" l="1"/>
  <c r="AN184" i="1" s="1"/>
  <c r="AI184" i="1"/>
  <c r="AJ184" i="1" s="1"/>
  <c r="AK184" i="1"/>
  <c r="AL184" i="1" s="1"/>
  <c r="D184" i="1"/>
  <c r="E184" i="1" s="1"/>
  <c r="S184" i="1"/>
  <c r="S302" i="1"/>
  <c r="T184" i="1" l="1"/>
  <c r="U184" i="1" s="1"/>
  <c r="T302" i="1"/>
  <c r="U302" i="1" s="1"/>
  <c r="AP184" i="1"/>
  <c r="H184" i="1"/>
  <c r="M184" i="1" s="1"/>
  <c r="F184" i="1"/>
  <c r="G184" i="1" l="1"/>
  <c r="I184" i="1"/>
  <c r="L184" i="1"/>
  <c r="J185" i="1" s="1"/>
  <c r="K185" i="1" s="1"/>
  <c r="S303" i="1"/>
  <c r="T303" i="1" l="1"/>
  <c r="U303" i="1" s="1"/>
  <c r="AQ185" i="1"/>
  <c r="AO184" i="1"/>
  <c r="B185" i="1"/>
  <c r="AF185" i="1" l="1"/>
  <c r="C185" i="1"/>
  <c r="AG185" i="1"/>
  <c r="AH185" i="1" s="1"/>
  <c r="S304" i="1"/>
  <c r="T304" i="1" l="1"/>
  <c r="U304" i="1" s="1"/>
  <c r="AI185" i="1"/>
  <c r="AJ185" i="1" s="1"/>
  <c r="AM185" i="1"/>
  <c r="AN185" i="1" s="1"/>
  <c r="AK185" i="1"/>
  <c r="AL185" i="1" s="1"/>
  <c r="D185" i="1"/>
  <c r="E185" i="1" s="1"/>
  <c r="S185" i="1"/>
  <c r="T185" i="1" l="1"/>
  <c r="U185" i="1" s="1"/>
  <c r="AP185" i="1"/>
  <c r="H185" i="1"/>
  <c r="M185" i="1" s="1"/>
  <c r="F185" i="1"/>
  <c r="S305" i="1"/>
  <c r="T305" i="1" l="1"/>
  <c r="U305" i="1" s="1"/>
  <c r="L185" i="1"/>
  <c r="J186" i="1" s="1"/>
  <c r="K186" i="1" s="1"/>
  <c r="I185" i="1"/>
  <c r="G185" i="1"/>
  <c r="AQ186" i="1" l="1"/>
  <c r="AO185" i="1"/>
  <c r="B186" i="1"/>
  <c r="S306" i="1"/>
  <c r="T306" i="1" l="1"/>
  <c r="U306" i="1" s="1"/>
  <c r="AF186" i="1"/>
  <c r="C186" i="1"/>
  <c r="AG186" i="1"/>
  <c r="AH186" i="1" s="1"/>
  <c r="AM186" i="1" l="1"/>
  <c r="AN186" i="1" s="1"/>
  <c r="AI186" i="1"/>
  <c r="AJ186" i="1" s="1"/>
  <c r="AK186" i="1"/>
  <c r="AL186" i="1" s="1"/>
  <c r="D186" i="1"/>
  <c r="E186" i="1" s="1"/>
  <c r="S186" i="1"/>
  <c r="S307" i="1"/>
  <c r="T186" i="1" l="1"/>
  <c r="U186" i="1" s="1"/>
  <c r="T307" i="1"/>
  <c r="U307" i="1" s="1"/>
  <c r="AP186" i="1"/>
  <c r="H186" i="1"/>
  <c r="M186" i="1" s="1"/>
  <c r="F186" i="1"/>
  <c r="I186" i="1" l="1"/>
  <c r="G186" i="1"/>
  <c r="L186" i="1"/>
  <c r="J187" i="1" s="1"/>
  <c r="K187" i="1" s="1"/>
  <c r="S308" i="1"/>
  <c r="T308" i="1" l="1"/>
  <c r="U308" i="1" s="1"/>
  <c r="AQ187" i="1"/>
  <c r="AO186" i="1"/>
  <c r="B187" i="1"/>
  <c r="AF187" i="1" l="1"/>
  <c r="AG187" i="1"/>
  <c r="AH187" i="1" s="1"/>
  <c r="C187" i="1"/>
  <c r="S309" i="1"/>
  <c r="T309" i="1" l="1"/>
  <c r="U309" i="1" s="1"/>
  <c r="AK187" i="1"/>
  <c r="AL187" i="1" s="1"/>
  <c r="AM187" i="1"/>
  <c r="AN187" i="1" s="1"/>
  <c r="AI187" i="1"/>
  <c r="AJ187" i="1" s="1"/>
  <c r="S187" i="1"/>
  <c r="D187" i="1"/>
  <c r="E187" i="1" s="1"/>
  <c r="T187" i="1" l="1"/>
  <c r="U187" i="1" s="1"/>
  <c r="AP187" i="1"/>
  <c r="H187" i="1"/>
  <c r="M187" i="1" s="1"/>
  <c r="F187" i="1"/>
  <c r="S310" i="1"/>
  <c r="T310" i="1" l="1"/>
  <c r="U310" i="1" s="1"/>
  <c r="G187" i="1"/>
  <c r="I187" i="1"/>
  <c r="L187" i="1"/>
  <c r="J188" i="1" s="1"/>
  <c r="K188" i="1" s="1"/>
  <c r="AQ188" i="1" l="1"/>
  <c r="AO187" i="1"/>
  <c r="B188" i="1"/>
  <c r="S311" i="1"/>
  <c r="T311" i="1" l="1"/>
  <c r="U311" i="1" s="1"/>
  <c r="AF188" i="1"/>
  <c r="AG188" i="1"/>
  <c r="AH188" i="1" s="1"/>
  <c r="C188" i="1"/>
  <c r="AI188" i="1" l="1"/>
  <c r="AJ188" i="1" s="1"/>
  <c r="AK188" i="1"/>
  <c r="AL188" i="1" s="1"/>
  <c r="AM188" i="1"/>
  <c r="AN188" i="1" s="1"/>
  <c r="D188" i="1"/>
  <c r="E188" i="1" s="1"/>
  <c r="S188" i="1"/>
  <c r="S312" i="1"/>
  <c r="T312" i="1" l="1"/>
  <c r="U312" i="1" s="1"/>
  <c r="T188" i="1"/>
  <c r="U188" i="1" s="1"/>
  <c r="AP188" i="1"/>
  <c r="H188" i="1"/>
  <c r="M188" i="1" s="1"/>
  <c r="F188" i="1"/>
  <c r="L188" i="1" l="1"/>
  <c r="J189" i="1" s="1"/>
  <c r="K189" i="1" s="1"/>
  <c r="G188" i="1"/>
  <c r="I188" i="1"/>
  <c r="S313" i="1"/>
  <c r="T313" i="1" l="1"/>
  <c r="U313" i="1" s="1"/>
  <c r="AQ189" i="1"/>
  <c r="AO188" i="1"/>
  <c r="B189" i="1"/>
  <c r="AF189" i="1" l="1"/>
  <c r="AG189" i="1"/>
  <c r="AH189" i="1" s="1"/>
  <c r="C189" i="1"/>
  <c r="S314" i="1"/>
  <c r="T314" i="1" l="1"/>
  <c r="U314" i="1" s="1"/>
  <c r="AM189" i="1"/>
  <c r="AN189" i="1" s="1"/>
  <c r="AI189" i="1"/>
  <c r="AJ189" i="1" s="1"/>
  <c r="AK189" i="1"/>
  <c r="AL189" i="1" s="1"/>
  <c r="D189" i="1"/>
  <c r="E189" i="1" s="1"/>
  <c r="S189" i="1"/>
  <c r="T189" i="1" l="1"/>
  <c r="U189" i="1" s="1"/>
  <c r="AP189" i="1"/>
  <c r="H189" i="1"/>
  <c r="M189" i="1" s="1"/>
  <c r="F189" i="1"/>
  <c r="S315" i="1"/>
  <c r="T315" i="1" l="1"/>
  <c r="U315" i="1" s="1"/>
  <c r="G189" i="1"/>
  <c r="I189" i="1"/>
  <c r="L189" i="1"/>
  <c r="J190" i="1" s="1"/>
  <c r="K190" i="1" s="1"/>
  <c r="AQ190" i="1" l="1"/>
  <c r="AO189" i="1"/>
  <c r="B190" i="1"/>
  <c r="S316" i="1"/>
  <c r="T316" i="1" l="1"/>
  <c r="U316" i="1" s="1"/>
  <c r="AF190" i="1"/>
  <c r="AG190" i="1"/>
  <c r="AH190" i="1" s="1"/>
  <c r="C190" i="1"/>
  <c r="AK190" i="1" l="1"/>
  <c r="AL190" i="1" s="1"/>
  <c r="AM190" i="1"/>
  <c r="AN190" i="1" s="1"/>
  <c r="AI190" i="1"/>
  <c r="AJ190" i="1" s="1"/>
  <c r="S190" i="1"/>
  <c r="D190" i="1"/>
  <c r="E190" i="1" s="1"/>
  <c r="S317" i="1"/>
  <c r="T190" i="1" l="1"/>
  <c r="U190" i="1" s="1"/>
  <c r="T317" i="1"/>
  <c r="U317" i="1" s="1"/>
  <c r="AP190" i="1"/>
  <c r="H190" i="1"/>
  <c r="M190" i="1" s="1"/>
  <c r="F190" i="1"/>
  <c r="G190" i="1" l="1"/>
  <c r="L190" i="1"/>
  <c r="J191" i="1" s="1"/>
  <c r="K191" i="1" s="1"/>
  <c r="I190" i="1"/>
  <c r="S318" i="1"/>
  <c r="T318" i="1" l="1"/>
  <c r="U318" i="1" s="1"/>
  <c r="AQ191" i="1"/>
  <c r="T30" i="2" s="1"/>
  <c r="AO190" i="1"/>
  <c r="B191" i="1"/>
  <c r="AF191" i="1" l="1"/>
  <c r="AG191" i="1"/>
  <c r="AH191" i="1" s="1"/>
  <c r="C191" i="1"/>
  <c r="S319" i="1"/>
  <c r="T319" i="1" l="1"/>
  <c r="U319" i="1" s="1"/>
  <c r="AK191" i="1"/>
  <c r="AL191" i="1" s="1"/>
  <c r="AI191" i="1"/>
  <c r="AJ191" i="1" s="1"/>
  <c r="AM191" i="1"/>
  <c r="AN191" i="1" s="1"/>
  <c r="S191" i="1"/>
  <c r="D191" i="1"/>
  <c r="E191" i="1" s="1"/>
  <c r="T191" i="1" l="1"/>
  <c r="U191" i="1" s="1"/>
  <c r="AP191" i="1"/>
  <c r="R30" i="2" s="1"/>
  <c r="H191" i="1"/>
  <c r="M191" i="1" s="1"/>
  <c r="F191" i="1"/>
  <c r="S320" i="1"/>
  <c r="T320" i="1" l="1"/>
  <c r="U320" i="1" s="1"/>
  <c r="G191" i="1"/>
  <c r="I191" i="1"/>
  <c r="L191" i="1"/>
  <c r="J192" i="1" s="1"/>
  <c r="K192" i="1" s="1"/>
  <c r="AQ192" i="1" l="1"/>
  <c r="AO191" i="1"/>
  <c r="B192" i="1"/>
  <c r="S321" i="1"/>
  <c r="T321" i="1" l="1"/>
  <c r="U321" i="1" s="1"/>
  <c r="AF192" i="1"/>
  <c r="C192" i="1"/>
  <c r="AG192" i="1"/>
  <c r="AH192" i="1" s="1"/>
  <c r="AI192" i="1" l="1"/>
  <c r="AJ192" i="1" s="1"/>
  <c r="AM192" i="1"/>
  <c r="AN192" i="1" s="1"/>
  <c r="AK192" i="1"/>
  <c r="AL192" i="1" s="1"/>
  <c r="S192" i="1"/>
  <c r="D192" i="1"/>
  <c r="E192" i="1" s="1"/>
  <c r="S322" i="1"/>
  <c r="T322" i="1" l="1"/>
  <c r="U322" i="1" s="1"/>
  <c r="T192" i="1"/>
  <c r="U192" i="1" s="1"/>
  <c r="AP192" i="1"/>
  <c r="H192" i="1"/>
  <c r="M192" i="1" s="1"/>
  <c r="F192" i="1"/>
  <c r="G192" i="1" l="1"/>
  <c r="I192" i="1"/>
  <c r="L192" i="1"/>
  <c r="J193" i="1" s="1"/>
  <c r="K193" i="1" s="1"/>
  <c r="S323" i="1"/>
  <c r="T323" i="1" l="1"/>
  <c r="U323" i="1" s="1"/>
  <c r="AQ193" i="1"/>
  <c r="AO192" i="1"/>
  <c r="B193" i="1"/>
  <c r="AF193" i="1" l="1"/>
  <c r="AG193" i="1"/>
  <c r="AH193" i="1" s="1"/>
  <c r="C193" i="1"/>
  <c r="S324" i="1"/>
  <c r="T324" i="1" l="1"/>
  <c r="U324" i="1" s="1"/>
  <c r="AI193" i="1"/>
  <c r="AJ193" i="1" s="1"/>
  <c r="AK193" i="1"/>
  <c r="AL193" i="1" s="1"/>
  <c r="AM193" i="1"/>
  <c r="AN193" i="1" s="1"/>
  <c r="S193" i="1"/>
  <c r="D193" i="1"/>
  <c r="E193" i="1" s="1"/>
  <c r="T193" i="1" l="1"/>
  <c r="U193" i="1" s="1"/>
  <c r="AP193" i="1"/>
  <c r="H193" i="1"/>
  <c r="M193" i="1" s="1"/>
  <c r="F193" i="1"/>
  <c r="S325" i="1"/>
  <c r="T325" i="1" l="1"/>
  <c r="U325" i="1" s="1"/>
  <c r="I193" i="1"/>
  <c r="G193" i="1"/>
  <c r="L193" i="1"/>
  <c r="J194" i="1" s="1"/>
  <c r="K194" i="1" s="1"/>
  <c r="AQ194" i="1" l="1"/>
  <c r="AO193" i="1"/>
  <c r="B194" i="1"/>
  <c r="S326" i="1"/>
  <c r="T326" i="1" l="1"/>
  <c r="U326" i="1" s="1"/>
  <c r="AF194" i="1"/>
  <c r="AG194" i="1"/>
  <c r="AH194" i="1" s="1"/>
  <c r="C194" i="1"/>
  <c r="AI194" i="1" l="1"/>
  <c r="AJ194" i="1" s="1"/>
  <c r="AK194" i="1"/>
  <c r="AL194" i="1" s="1"/>
  <c r="AM194" i="1"/>
  <c r="AN194" i="1" s="1"/>
  <c r="D194" i="1"/>
  <c r="E194" i="1" s="1"/>
  <c r="S194" i="1"/>
  <c r="S327" i="1"/>
  <c r="T327" i="1" l="1"/>
  <c r="U327" i="1" s="1"/>
  <c r="T194" i="1"/>
  <c r="U194" i="1" s="1"/>
  <c r="AP194" i="1"/>
  <c r="H194" i="1"/>
  <c r="M194" i="1" s="1"/>
  <c r="F194" i="1"/>
  <c r="L194" i="1" l="1"/>
  <c r="J195" i="1" s="1"/>
  <c r="K195" i="1" s="1"/>
  <c r="G194" i="1"/>
  <c r="I194" i="1"/>
  <c r="S328" i="1"/>
  <c r="T328" i="1" l="1"/>
  <c r="U328" i="1" s="1"/>
  <c r="AQ195" i="1"/>
  <c r="AO194" i="1"/>
  <c r="B195" i="1"/>
  <c r="AF195" i="1" l="1"/>
  <c r="C195" i="1"/>
  <c r="AG195" i="1"/>
  <c r="AH195" i="1" s="1"/>
  <c r="S329" i="1"/>
  <c r="T329" i="1" l="1"/>
  <c r="U329" i="1" s="1"/>
  <c r="AK195" i="1"/>
  <c r="AL195" i="1" s="1"/>
  <c r="AM195" i="1"/>
  <c r="AN195" i="1" s="1"/>
  <c r="AI195" i="1"/>
  <c r="AJ195" i="1" s="1"/>
  <c r="D195" i="1"/>
  <c r="E195" i="1" s="1"/>
  <c r="S195" i="1"/>
  <c r="T195" i="1" l="1"/>
  <c r="U195" i="1" s="1"/>
  <c r="AP195" i="1"/>
  <c r="H195" i="1"/>
  <c r="M195" i="1" s="1"/>
  <c r="F195" i="1"/>
  <c r="S330" i="1"/>
  <c r="T330" i="1" l="1"/>
  <c r="U330" i="1" s="1"/>
  <c r="I195" i="1"/>
  <c r="L195" i="1"/>
  <c r="J196" i="1" s="1"/>
  <c r="K196" i="1" s="1"/>
  <c r="G195" i="1"/>
  <c r="AQ196" i="1" l="1"/>
  <c r="AO195" i="1"/>
  <c r="B196" i="1"/>
  <c r="S331" i="1"/>
  <c r="T331" i="1" l="1"/>
  <c r="U331" i="1" s="1"/>
  <c r="AF196" i="1"/>
  <c r="AG196" i="1"/>
  <c r="AH196" i="1" s="1"/>
  <c r="C196" i="1"/>
  <c r="AM196" i="1" l="1"/>
  <c r="AN196" i="1" s="1"/>
  <c r="AI196" i="1"/>
  <c r="AJ196" i="1" s="1"/>
  <c r="AK196" i="1"/>
  <c r="AL196" i="1" s="1"/>
  <c r="D196" i="1"/>
  <c r="E196" i="1" s="1"/>
  <c r="S196" i="1"/>
  <c r="S332" i="1"/>
  <c r="T332" i="1" l="1"/>
  <c r="U332" i="1" s="1"/>
  <c r="T196" i="1"/>
  <c r="U196" i="1" s="1"/>
  <c r="AP196" i="1"/>
  <c r="H196" i="1"/>
  <c r="M196" i="1" s="1"/>
  <c r="F196" i="1"/>
  <c r="L196" i="1" l="1"/>
  <c r="J197" i="1" s="1"/>
  <c r="K197" i="1" s="1"/>
  <c r="I196" i="1"/>
  <c r="G196" i="1"/>
  <c r="S333" i="1"/>
  <c r="T333" i="1" l="1"/>
  <c r="U333" i="1" s="1"/>
  <c r="AQ197" i="1"/>
  <c r="AO196" i="1"/>
  <c r="B197" i="1"/>
  <c r="AF197" i="1" l="1"/>
  <c r="C197" i="1"/>
  <c r="AG197" i="1"/>
  <c r="AH197" i="1" s="1"/>
  <c r="S334" i="1"/>
  <c r="T334" i="1" l="1"/>
  <c r="U334" i="1" s="1"/>
  <c r="AI197" i="1"/>
  <c r="AJ197" i="1" s="1"/>
  <c r="AK197" i="1"/>
  <c r="AL197" i="1" s="1"/>
  <c r="AM197" i="1"/>
  <c r="AN197" i="1" s="1"/>
  <c r="S197" i="1"/>
  <c r="D197" i="1"/>
  <c r="E197" i="1" s="1"/>
  <c r="T197" i="1" l="1"/>
  <c r="U197" i="1" s="1"/>
  <c r="AP197" i="1"/>
  <c r="H197" i="1"/>
  <c r="M197" i="1" s="1"/>
  <c r="F197" i="1"/>
  <c r="S335" i="1"/>
  <c r="T335" i="1" l="1"/>
  <c r="U335" i="1" s="1"/>
  <c r="I197" i="1"/>
  <c r="G197" i="1"/>
  <c r="L197" i="1"/>
  <c r="J198" i="1" s="1"/>
  <c r="K198" i="1" s="1"/>
  <c r="AQ198" i="1" l="1"/>
  <c r="AO197" i="1"/>
  <c r="B198" i="1"/>
  <c r="S336" i="1"/>
  <c r="T336" i="1" l="1"/>
  <c r="U336" i="1" s="1"/>
  <c r="AF198" i="1"/>
  <c r="C198" i="1"/>
  <c r="AG198" i="1"/>
  <c r="AH198" i="1" s="1"/>
  <c r="AK198" i="1" l="1"/>
  <c r="AL198" i="1" s="1"/>
  <c r="AI198" i="1"/>
  <c r="AJ198" i="1" s="1"/>
  <c r="AM198" i="1"/>
  <c r="AN198" i="1" s="1"/>
  <c r="S198" i="1"/>
  <c r="D198" i="1"/>
  <c r="E198" i="1" s="1"/>
  <c r="S337" i="1"/>
  <c r="T337" i="1" l="1"/>
  <c r="U337" i="1" s="1"/>
  <c r="T198" i="1"/>
  <c r="U198" i="1" s="1"/>
  <c r="AP198" i="1"/>
  <c r="H198" i="1"/>
  <c r="M198" i="1" s="1"/>
  <c r="F198" i="1"/>
  <c r="I198" i="1" l="1"/>
  <c r="G198" i="1"/>
  <c r="L198" i="1"/>
  <c r="J199" i="1" s="1"/>
  <c r="K199" i="1" s="1"/>
  <c r="S338" i="1"/>
  <c r="T338" i="1" l="1"/>
  <c r="U338" i="1" s="1"/>
  <c r="AQ199" i="1"/>
  <c r="AO198" i="1"/>
  <c r="B199" i="1"/>
  <c r="AF199" i="1" l="1"/>
  <c r="C199" i="1"/>
  <c r="AG199" i="1"/>
  <c r="AH199" i="1" s="1"/>
  <c r="S339" i="1"/>
  <c r="T339" i="1" l="1"/>
  <c r="U339" i="1" s="1"/>
  <c r="AI199" i="1"/>
  <c r="AJ199" i="1" s="1"/>
  <c r="AK199" i="1"/>
  <c r="AL199" i="1" s="1"/>
  <c r="AM199" i="1"/>
  <c r="AN199" i="1" s="1"/>
  <c r="S199" i="1"/>
  <c r="D199" i="1"/>
  <c r="E199" i="1" s="1"/>
  <c r="T199" i="1" l="1"/>
  <c r="U199" i="1" s="1"/>
  <c r="AP199" i="1"/>
  <c r="H199" i="1"/>
  <c r="M199" i="1" s="1"/>
  <c r="F199" i="1"/>
  <c r="S340" i="1"/>
  <c r="T340" i="1" l="1"/>
  <c r="U340" i="1" s="1"/>
  <c r="I199" i="1"/>
  <c r="G199" i="1"/>
  <c r="L199" i="1"/>
  <c r="J200" i="1" s="1"/>
  <c r="K200" i="1" s="1"/>
  <c r="AQ200" i="1" l="1"/>
  <c r="AO199" i="1"/>
  <c r="B200" i="1"/>
  <c r="S341" i="1"/>
  <c r="T341" i="1" l="1"/>
  <c r="U341" i="1" s="1"/>
  <c r="AF200" i="1"/>
  <c r="AG200" i="1"/>
  <c r="AH200" i="1" s="1"/>
  <c r="C200" i="1"/>
  <c r="AM200" i="1" l="1"/>
  <c r="AN200" i="1" s="1"/>
  <c r="AI200" i="1"/>
  <c r="AJ200" i="1" s="1"/>
  <c r="AK200" i="1"/>
  <c r="AL200" i="1" s="1"/>
  <c r="S200" i="1"/>
  <c r="D200" i="1"/>
  <c r="E200" i="1" s="1"/>
  <c r="S342" i="1"/>
  <c r="T342" i="1" l="1"/>
  <c r="U342" i="1" s="1"/>
  <c r="T200" i="1"/>
  <c r="U200" i="1" s="1"/>
  <c r="AP200" i="1"/>
  <c r="H200" i="1"/>
  <c r="M200" i="1" s="1"/>
  <c r="F200" i="1"/>
  <c r="G200" i="1" l="1"/>
  <c r="L200" i="1"/>
  <c r="J201" i="1" s="1"/>
  <c r="K201" i="1" s="1"/>
  <c r="I200" i="1"/>
  <c r="S343" i="1"/>
  <c r="T343" i="1" l="1"/>
  <c r="U343" i="1" s="1"/>
  <c r="AQ201" i="1"/>
  <c r="AO200" i="1"/>
  <c r="B201" i="1"/>
  <c r="AF201" i="1" l="1"/>
  <c r="C201" i="1"/>
  <c r="AG201" i="1"/>
  <c r="AH201" i="1" s="1"/>
  <c r="S344" i="1"/>
  <c r="T344" i="1" l="1"/>
  <c r="U344" i="1" s="1"/>
  <c r="AM201" i="1"/>
  <c r="AN201" i="1" s="1"/>
  <c r="AK201" i="1"/>
  <c r="AL201" i="1" s="1"/>
  <c r="AI201" i="1"/>
  <c r="AJ201" i="1" s="1"/>
  <c r="S201" i="1"/>
  <c r="D201" i="1"/>
  <c r="E201" i="1" s="1"/>
  <c r="AP201" i="1" l="1"/>
  <c r="T201" i="1"/>
  <c r="U201" i="1" s="1"/>
  <c r="H201" i="1"/>
  <c r="M201" i="1" s="1"/>
  <c r="F201" i="1"/>
  <c r="S345" i="1"/>
  <c r="T345" i="1" l="1"/>
  <c r="U345" i="1" s="1"/>
  <c r="L201" i="1"/>
  <c r="J202" i="1" s="1"/>
  <c r="K202" i="1" s="1"/>
  <c r="I201" i="1"/>
  <c r="G201" i="1"/>
  <c r="AQ202" i="1" l="1"/>
  <c r="AO201" i="1"/>
  <c r="B202" i="1"/>
  <c r="S346" i="1"/>
  <c r="T346" i="1" l="1"/>
  <c r="U346" i="1" s="1"/>
  <c r="AF202" i="1"/>
  <c r="C202" i="1"/>
  <c r="AG202" i="1"/>
  <c r="AH202" i="1" s="1"/>
  <c r="AM202" i="1" l="1"/>
  <c r="AN202" i="1" s="1"/>
  <c r="AI202" i="1"/>
  <c r="AJ202" i="1" s="1"/>
  <c r="AK202" i="1"/>
  <c r="AL202" i="1" s="1"/>
  <c r="D202" i="1"/>
  <c r="E202" i="1" s="1"/>
  <c r="S202" i="1"/>
  <c r="S347" i="1"/>
  <c r="T347" i="1" l="1"/>
  <c r="U347" i="1" s="1"/>
  <c r="T202" i="1"/>
  <c r="U202" i="1" s="1"/>
  <c r="AP202" i="1"/>
  <c r="H202" i="1"/>
  <c r="M202" i="1" s="1"/>
  <c r="F202" i="1"/>
  <c r="I202" i="1" l="1"/>
  <c r="L202" i="1"/>
  <c r="J203" i="1" s="1"/>
  <c r="K203" i="1" s="1"/>
  <c r="G202" i="1"/>
  <c r="S348" i="1"/>
  <c r="T348" i="1" l="1"/>
  <c r="U348" i="1" s="1"/>
  <c r="AQ203" i="1"/>
  <c r="AO202" i="1"/>
  <c r="B203" i="1"/>
  <c r="AF203" i="1" l="1"/>
  <c r="AG203" i="1"/>
  <c r="AH203" i="1" s="1"/>
  <c r="C203" i="1"/>
  <c r="S349" i="1"/>
  <c r="T349" i="1" l="1"/>
  <c r="U349" i="1" s="1"/>
  <c r="AM203" i="1"/>
  <c r="AN203" i="1" s="1"/>
  <c r="AK203" i="1"/>
  <c r="AL203" i="1" s="1"/>
  <c r="AI203" i="1"/>
  <c r="AJ203" i="1" s="1"/>
  <c r="D203" i="1"/>
  <c r="E203" i="1" s="1"/>
  <c r="S203" i="1"/>
  <c r="T203" i="1" l="1"/>
  <c r="U203" i="1" s="1"/>
  <c r="AP203" i="1"/>
  <c r="H203" i="1"/>
  <c r="M203" i="1" s="1"/>
  <c r="F203" i="1"/>
  <c r="G203" i="1" l="1"/>
  <c r="I203" i="1"/>
  <c r="L203" i="1"/>
  <c r="J204" i="1" s="1"/>
  <c r="K204" i="1" s="1"/>
  <c r="AQ204" i="1" l="1"/>
  <c r="AO203" i="1"/>
  <c r="B204" i="1"/>
  <c r="AF204" i="1" l="1"/>
  <c r="AG204" i="1"/>
  <c r="AH204" i="1" s="1"/>
  <c r="C204" i="1"/>
  <c r="AI204" i="1" l="1"/>
  <c r="AJ204" i="1" s="1"/>
  <c r="AM204" i="1"/>
  <c r="AN204" i="1" s="1"/>
  <c r="AK204" i="1"/>
  <c r="AL204" i="1" s="1"/>
  <c r="D204" i="1"/>
  <c r="E204" i="1" s="1"/>
  <c r="S204" i="1"/>
  <c r="T204" i="1" l="1"/>
  <c r="U204" i="1" s="1"/>
  <c r="AP204" i="1"/>
  <c r="H204" i="1"/>
  <c r="M204" i="1" s="1"/>
  <c r="F204" i="1"/>
  <c r="I204" i="1" l="1"/>
  <c r="L204" i="1"/>
  <c r="J205" i="1" s="1"/>
  <c r="K205" i="1" s="1"/>
  <c r="G204" i="1"/>
  <c r="AQ205" i="1" l="1"/>
  <c r="AO204" i="1"/>
  <c r="B205" i="1"/>
  <c r="AF205" i="1" l="1"/>
  <c r="C205" i="1"/>
  <c r="AG205" i="1"/>
  <c r="AH205" i="1" s="1"/>
  <c r="AI205" i="1" l="1"/>
  <c r="AJ205" i="1" s="1"/>
  <c r="AK205" i="1"/>
  <c r="AL205" i="1" s="1"/>
  <c r="AM205" i="1"/>
  <c r="AN205" i="1" s="1"/>
  <c r="D205" i="1"/>
  <c r="E205" i="1" s="1"/>
  <c r="S205" i="1"/>
  <c r="T205" i="1" l="1"/>
  <c r="U205" i="1" s="1"/>
  <c r="AP205" i="1"/>
  <c r="H205" i="1"/>
  <c r="M205" i="1" s="1"/>
  <c r="F205" i="1"/>
  <c r="G205" i="1" l="1"/>
  <c r="L205" i="1"/>
  <c r="J206" i="1" s="1"/>
  <c r="K206" i="1" s="1"/>
  <c r="I205" i="1"/>
  <c r="AQ206" i="1" l="1"/>
  <c r="AO205" i="1"/>
  <c r="B206" i="1"/>
  <c r="AF206" i="1" l="1"/>
  <c r="AG206" i="1"/>
  <c r="AH206" i="1" s="1"/>
  <c r="C206" i="1"/>
  <c r="AK206" i="1" l="1"/>
  <c r="AL206" i="1" s="1"/>
  <c r="AM206" i="1"/>
  <c r="AN206" i="1" s="1"/>
  <c r="AI206" i="1"/>
  <c r="AJ206" i="1" s="1"/>
  <c r="D206" i="1"/>
  <c r="E206" i="1" s="1"/>
  <c r="S206" i="1"/>
  <c r="T206" i="1" l="1"/>
  <c r="U206" i="1" s="1"/>
  <c r="AP206" i="1"/>
  <c r="H206" i="1"/>
  <c r="M206" i="1" s="1"/>
  <c r="F206" i="1"/>
  <c r="L206" i="1" l="1"/>
  <c r="J207" i="1" s="1"/>
  <c r="K207" i="1" s="1"/>
  <c r="G206" i="1"/>
  <c r="I206" i="1"/>
  <c r="AQ207" i="1" l="1"/>
  <c r="AO206" i="1"/>
  <c r="B207" i="1"/>
  <c r="AF207" i="1" l="1"/>
  <c r="AG207" i="1"/>
  <c r="AH207" i="1" s="1"/>
  <c r="C207" i="1"/>
  <c r="AK207" i="1" l="1"/>
  <c r="AL207" i="1" s="1"/>
  <c r="AI207" i="1"/>
  <c r="AJ207" i="1" s="1"/>
  <c r="AM207" i="1"/>
  <c r="AN207" i="1" s="1"/>
  <c r="D207" i="1"/>
  <c r="E207" i="1" s="1"/>
  <c r="S207" i="1"/>
  <c r="T207" i="1" l="1"/>
  <c r="U207" i="1" s="1"/>
  <c r="AP207" i="1"/>
  <c r="H207" i="1"/>
  <c r="M207" i="1" s="1"/>
  <c r="F207" i="1"/>
  <c r="I207" i="1" l="1"/>
  <c r="G207" i="1"/>
  <c r="L207" i="1"/>
  <c r="J208" i="1" s="1"/>
  <c r="K208" i="1" s="1"/>
  <c r="AQ208" i="1" l="1"/>
  <c r="AO207" i="1"/>
  <c r="B208" i="1"/>
  <c r="AF208" i="1" l="1"/>
  <c r="C208" i="1"/>
  <c r="AG208" i="1"/>
  <c r="AH208" i="1" s="1"/>
  <c r="AK208" i="1" l="1"/>
  <c r="AL208" i="1" s="1"/>
  <c r="AI208" i="1"/>
  <c r="AJ208" i="1" s="1"/>
  <c r="AM208" i="1"/>
  <c r="AN208" i="1" s="1"/>
  <c r="D208" i="1"/>
  <c r="E208" i="1" s="1"/>
  <c r="S208" i="1"/>
  <c r="T208" i="1" l="1"/>
  <c r="U208" i="1" s="1"/>
  <c r="AP208" i="1"/>
  <c r="H208" i="1"/>
  <c r="M208" i="1" s="1"/>
  <c r="F208" i="1"/>
  <c r="G208" i="1" l="1"/>
  <c r="I208" i="1"/>
  <c r="L208" i="1"/>
  <c r="J209" i="1" s="1"/>
  <c r="K209" i="1" s="1"/>
  <c r="AQ209" i="1" l="1"/>
  <c r="AO208" i="1"/>
  <c r="B209" i="1"/>
  <c r="AF209" i="1" l="1"/>
  <c r="C209" i="1"/>
  <c r="AG209" i="1"/>
  <c r="AH209" i="1" s="1"/>
  <c r="AK209" i="1" l="1"/>
  <c r="AL209" i="1" s="1"/>
  <c r="AI209" i="1"/>
  <c r="AJ209" i="1" s="1"/>
  <c r="AM209" i="1"/>
  <c r="AN209" i="1" s="1"/>
  <c r="D209" i="1"/>
  <c r="E209" i="1" s="1"/>
  <c r="S209" i="1"/>
  <c r="T209" i="1" l="1"/>
  <c r="U209" i="1" s="1"/>
  <c r="AP209" i="1"/>
  <c r="H209" i="1"/>
  <c r="M209" i="1" s="1"/>
  <c r="F209" i="1"/>
  <c r="I209" i="1" l="1"/>
  <c r="G209" i="1"/>
  <c r="L209" i="1"/>
  <c r="J210" i="1" s="1"/>
  <c r="K210" i="1" s="1"/>
  <c r="AQ210" i="1" l="1"/>
  <c r="AO209" i="1"/>
  <c r="B210" i="1"/>
  <c r="AF210" i="1" l="1"/>
  <c r="AG210" i="1"/>
  <c r="AH210" i="1" s="1"/>
  <c r="C210" i="1"/>
  <c r="AI210" i="1" l="1"/>
  <c r="AJ210" i="1" s="1"/>
  <c r="AM210" i="1"/>
  <c r="AN210" i="1" s="1"/>
  <c r="AK210" i="1"/>
  <c r="AL210" i="1" s="1"/>
  <c r="D210" i="1"/>
  <c r="E210" i="1" s="1"/>
  <c r="S210" i="1"/>
  <c r="T210" i="1" l="1"/>
  <c r="U210" i="1" s="1"/>
  <c r="AP210" i="1"/>
  <c r="H210" i="1"/>
  <c r="M210" i="1" s="1"/>
  <c r="F210" i="1"/>
  <c r="I210" i="1" l="1"/>
  <c r="G210" i="1"/>
  <c r="L210" i="1"/>
  <c r="J211" i="1" s="1"/>
  <c r="K211" i="1" s="1"/>
  <c r="AQ211" i="1" l="1"/>
  <c r="AO210" i="1"/>
  <c r="B211" i="1"/>
  <c r="AF211" i="1" l="1"/>
  <c r="AG211" i="1"/>
  <c r="AH211" i="1" s="1"/>
  <c r="C211" i="1"/>
  <c r="AK211" i="1" l="1"/>
  <c r="AL211" i="1" s="1"/>
  <c r="AI211" i="1"/>
  <c r="AJ211" i="1" s="1"/>
  <c r="AM211" i="1"/>
  <c r="AN211" i="1" s="1"/>
  <c r="D211" i="1"/>
  <c r="E211" i="1" s="1"/>
  <c r="S211" i="1"/>
  <c r="T211" i="1" l="1"/>
  <c r="U211" i="1" s="1"/>
  <c r="AP211" i="1"/>
  <c r="H211" i="1"/>
  <c r="M211" i="1" s="1"/>
  <c r="F211" i="1"/>
  <c r="G211" i="1" l="1"/>
  <c r="L211" i="1"/>
  <c r="J212" i="1" s="1"/>
  <c r="K212" i="1" s="1"/>
  <c r="I211" i="1"/>
  <c r="AQ212" i="1" l="1"/>
  <c r="AO211" i="1"/>
  <c r="B212" i="1"/>
  <c r="AF212" i="1" l="1"/>
  <c r="AG212" i="1"/>
  <c r="AH212" i="1" s="1"/>
  <c r="C212" i="1"/>
  <c r="AM212" i="1" l="1"/>
  <c r="AN212" i="1" s="1"/>
  <c r="AK212" i="1"/>
  <c r="AL212" i="1" s="1"/>
  <c r="AI212" i="1"/>
  <c r="AJ212" i="1" s="1"/>
  <c r="D212" i="1"/>
  <c r="E212" i="1" s="1"/>
  <c r="S212" i="1"/>
  <c r="T212" i="1" l="1"/>
  <c r="U212" i="1" s="1"/>
  <c r="AP212" i="1"/>
  <c r="H212" i="1"/>
  <c r="M212" i="1" s="1"/>
  <c r="F212" i="1"/>
  <c r="L212" i="1" l="1"/>
  <c r="J213" i="1" s="1"/>
  <c r="K213" i="1" s="1"/>
  <c r="G212" i="1"/>
  <c r="I212" i="1"/>
  <c r="AQ213" i="1" l="1"/>
  <c r="AO212" i="1"/>
  <c r="B213" i="1"/>
  <c r="AF213" i="1" l="1"/>
  <c r="AG213" i="1"/>
  <c r="AH213" i="1" s="1"/>
  <c r="C213" i="1"/>
  <c r="AK213" i="1" l="1"/>
  <c r="AL213" i="1" s="1"/>
  <c r="AI213" i="1"/>
  <c r="AJ213" i="1" s="1"/>
  <c r="AM213" i="1"/>
  <c r="AN213" i="1" s="1"/>
  <c r="D213" i="1"/>
  <c r="E213" i="1" s="1"/>
  <c r="S213" i="1"/>
  <c r="T213" i="1" l="1"/>
  <c r="U213" i="1" s="1"/>
  <c r="AP213" i="1"/>
  <c r="H213" i="1"/>
  <c r="M213" i="1" s="1"/>
  <c r="F213" i="1"/>
  <c r="L213" i="1" l="1"/>
  <c r="J214" i="1" s="1"/>
  <c r="K214" i="1" s="1"/>
  <c r="G213" i="1"/>
  <c r="I213" i="1"/>
  <c r="AQ214" i="1" l="1"/>
  <c r="AO213" i="1"/>
  <c r="B214" i="1"/>
  <c r="AF214" i="1" l="1"/>
  <c r="AG214" i="1"/>
  <c r="AH214" i="1" s="1"/>
  <c r="C214" i="1"/>
  <c r="AK214" i="1" l="1"/>
  <c r="AL214" i="1" s="1"/>
  <c r="AM214" i="1"/>
  <c r="AN214" i="1" s="1"/>
  <c r="AI214" i="1"/>
  <c r="AJ214" i="1" s="1"/>
  <c r="D214" i="1"/>
  <c r="E214" i="1" s="1"/>
  <c r="S214" i="1"/>
  <c r="T214" i="1" l="1"/>
  <c r="U214" i="1" s="1"/>
  <c r="AP214" i="1"/>
  <c r="H214" i="1"/>
  <c r="M214" i="1" s="1"/>
  <c r="F214" i="1"/>
  <c r="L214" i="1" l="1"/>
  <c r="J215" i="1" s="1"/>
  <c r="K215" i="1" s="1"/>
  <c r="G214" i="1"/>
  <c r="I214" i="1"/>
  <c r="AQ215" i="1" l="1"/>
  <c r="AO214" i="1"/>
  <c r="B215" i="1"/>
  <c r="AF215" i="1" l="1"/>
  <c r="C215" i="1"/>
  <c r="AG215" i="1"/>
  <c r="AH215" i="1" s="1"/>
  <c r="AM215" i="1" l="1"/>
  <c r="AN215" i="1" s="1"/>
  <c r="AK215" i="1"/>
  <c r="AL215" i="1" s="1"/>
  <c r="AI215" i="1"/>
  <c r="AJ215" i="1" s="1"/>
  <c r="D215" i="1"/>
  <c r="E215" i="1" s="1"/>
  <c r="S215" i="1"/>
  <c r="T215" i="1" l="1"/>
  <c r="U215" i="1" s="1"/>
  <c r="AP215" i="1"/>
  <c r="H215" i="1"/>
  <c r="M215" i="1" s="1"/>
  <c r="F215" i="1"/>
  <c r="I215" i="1" l="1"/>
  <c r="G215" i="1"/>
  <c r="L215" i="1"/>
  <c r="J216" i="1" s="1"/>
  <c r="K216" i="1" s="1"/>
  <c r="AQ216" i="1" l="1"/>
  <c r="AO215" i="1"/>
  <c r="B216" i="1"/>
  <c r="AF216" i="1" l="1"/>
  <c r="C216" i="1"/>
  <c r="AG216" i="1"/>
  <c r="AH216" i="1" s="1"/>
  <c r="AK216" i="1" l="1"/>
  <c r="AL216" i="1" s="1"/>
  <c r="AM216" i="1"/>
  <c r="AN216" i="1" s="1"/>
  <c r="AI216" i="1"/>
  <c r="AJ216" i="1" s="1"/>
  <c r="D216" i="1"/>
  <c r="E216" i="1" s="1"/>
  <c r="S216" i="1"/>
  <c r="T216" i="1" l="1"/>
  <c r="U216" i="1" s="1"/>
  <c r="AP216" i="1"/>
  <c r="H216" i="1"/>
  <c r="M216" i="1" s="1"/>
  <c r="F216" i="1"/>
  <c r="G216" i="1" l="1"/>
  <c r="L216" i="1"/>
  <c r="J217" i="1" s="1"/>
  <c r="K217" i="1" s="1"/>
  <c r="I216" i="1"/>
  <c r="AQ217" i="1" l="1"/>
  <c r="AO216" i="1"/>
  <c r="B217" i="1"/>
  <c r="AF217" i="1" l="1"/>
  <c r="AG217" i="1"/>
  <c r="AH217" i="1" s="1"/>
  <c r="C217" i="1"/>
  <c r="AK217" i="1" l="1"/>
  <c r="AL217" i="1" s="1"/>
  <c r="AI217" i="1"/>
  <c r="AJ217" i="1" s="1"/>
  <c r="AM217" i="1"/>
  <c r="AN217" i="1" s="1"/>
  <c r="D217" i="1"/>
  <c r="E217" i="1" s="1"/>
  <c r="S217" i="1"/>
  <c r="T217" i="1" l="1"/>
  <c r="U217" i="1" s="1"/>
  <c r="AP217" i="1"/>
  <c r="H217" i="1"/>
  <c r="M217" i="1" s="1"/>
  <c r="F217" i="1"/>
  <c r="I217" i="1" l="1"/>
  <c r="L217" i="1"/>
  <c r="J218" i="1" s="1"/>
  <c r="K218" i="1" s="1"/>
  <c r="G217" i="1"/>
  <c r="AQ218" i="1" l="1"/>
  <c r="AO217" i="1"/>
  <c r="B218" i="1"/>
  <c r="AF218" i="1" l="1"/>
  <c r="AG218" i="1"/>
  <c r="AH218" i="1" s="1"/>
  <c r="C218" i="1"/>
  <c r="AM218" i="1" l="1"/>
  <c r="AN218" i="1" s="1"/>
  <c r="AI218" i="1"/>
  <c r="AJ218" i="1" s="1"/>
  <c r="AK218" i="1"/>
  <c r="AL218" i="1" s="1"/>
  <c r="D218" i="1"/>
  <c r="E218" i="1" s="1"/>
  <c r="S218" i="1"/>
  <c r="T218" i="1" l="1"/>
  <c r="U218" i="1" s="1"/>
  <c r="AP218" i="1"/>
  <c r="H218" i="1"/>
  <c r="M218" i="1" s="1"/>
  <c r="F218" i="1"/>
  <c r="I218" i="1" l="1"/>
  <c r="G218" i="1"/>
  <c r="L218" i="1"/>
  <c r="J219" i="1" s="1"/>
  <c r="K219" i="1" s="1"/>
  <c r="AQ219" i="1" l="1"/>
  <c r="AO218" i="1"/>
  <c r="B219" i="1"/>
  <c r="AF219" i="1" l="1"/>
  <c r="AG219" i="1"/>
  <c r="AH219" i="1" s="1"/>
  <c r="C219" i="1"/>
  <c r="AK219" i="1" l="1"/>
  <c r="AL219" i="1" s="1"/>
  <c r="AI219" i="1"/>
  <c r="AJ219" i="1" s="1"/>
  <c r="AM219" i="1"/>
  <c r="AN219" i="1" s="1"/>
  <c r="D219" i="1"/>
  <c r="E219" i="1" s="1"/>
  <c r="S219" i="1"/>
  <c r="T219" i="1" l="1"/>
  <c r="U219" i="1" s="1"/>
  <c r="AP219" i="1"/>
  <c r="H219" i="1"/>
  <c r="M219" i="1" s="1"/>
  <c r="F219" i="1"/>
  <c r="L219" i="1" l="1"/>
  <c r="J220" i="1" s="1"/>
  <c r="K220" i="1" s="1"/>
  <c r="G219" i="1"/>
  <c r="I219" i="1"/>
  <c r="AQ220" i="1" l="1"/>
  <c r="AO219" i="1"/>
  <c r="B220" i="1"/>
  <c r="AF220" i="1" l="1"/>
  <c r="C220" i="1"/>
  <c r="AG220" i="1"/>
  <c r="AH220" i="1" s="1"/>
  <c r="AK220" i="1" l="1"/>
  <c r="AL220" i="1" s="1"/>
  <c r="AM220" i="1"/>
  <c r="AN220" i="1" s="1"/>
  <c r="AI220" i="1"/>
  <c r="AJ220" i="1" s="1"/>
  <c r="D220" i="1"/>
  <c r="E220" i="1" s="1"/>
  <c r="S220" i="1"/>
  <c r="T220" i="1" l="1"/>
  <c r="U220" i="1" s="1"/>
  <c r="AP220" i="1"/>
  <c r="H220" i="1"/>
  <c r="M220" i="1" s="1"/>
  <c r="F220" i="1"/>
  <c r="L220" i="1" l="1"/>
  <c r="J221" i="1" s="1"/>
  <c r="K221" i="1" s="1"/>
  <c r="G220" i="1"/>
  <c r="I220" i="1"/>
  <c r="AQ221" i="1" l="1"/>
  <c r="AO220" i="1"/>
  <c r="B221" i="1"/>
  <c r="AF221" i="1" l="1"/>
  <c r="AG221" i="1"/>
  <c r="AH221" i="1" s="1"/>
  <c r="C221" i="1"/>
  <c r="AM221" i="1" l="1"/>
  <c r="AN221" i="1" s="1"/>
  <c r="AI221" i="1"/>
  <c r="AJ221" i="1" s="1"/>
  <c r="AK221" i="1"/>
  <c r="AL221" i="1" s="1"/>
  <c r="D221" i="1"/>
  <c r="E221" i="1" s="1"/>
  <c r="S221" i="1"/>
  <c r="T221" i="1" l="1"/>
  <c r="U221" i="1" s="1"/>
  <c r="AP221" i="1"/>
  <c r="H221" i="1"/>
  <c r="M221" i="1" s="1"/>
  <c r="F221" i="1"/>
  <c r="G221" i="1" l="1"/>
  <c r="I221" i="1"/>
  <c r="L221" i="1"/>
  <c r="J222" i="1" s="1"/>
  <c r="K222" i="1" s="1"/>
  <c r="AQ222" i="1" l="1"/>
  <c r="AO221" i="1"/>
  <c r="B222" i="1"/>
  <c r="AF222" i="1" l="1"/>
  <c r="AG222" i="1"/>
  <c r="AH222" i="1" s="1"/>
  <c r="C222" i="1"/>
  <c r="AM222" i="1" l="1"/>
  <c r="AN222" i="1" s="1"/>
  <c r="AI222" i="1"/>
  <c r="AJ222" i="1" s="1"/>
  <c r="AK222" i="1"/>
  <c r="AL222" i="1" s="1"/>
  <c r="D222" i="1"/>
  <c r="E222" i="1" s="1"/>
  <c r="S222" i="1"/>
  <c r="T222" i="1" l="1"/>
  <c r="U222" i="1" s="1"/>
  <c r="AP222" i="1"/>
  <c r="H222" i="1"/>
  <c r="M222" i="1" s="1"/>
  <c r="F222" i="1"/>
  <c r="G222" i="1" l="1"/>
  <c r="L222" i="1"/>
  <c r="J223" i="1" s="1"/>
  <c r="K223" i="1" s="1"/>
  <c r="I222" i="1"/>
  <c r="AQ223" i="1" l="1"/>
  <c r="AO222" i="1"/>
  <c r="B223" i="1"/>
  <c r="AF223" i="1" l="1"/>
  <c r="C223" i="1"/>
  <c r="AG223" i="1"/>
  <c r="AH223" i="1" s="1"/>
  <c r="AM223" i="1" l="1"/>
  <c r="AN223" i="1" s="1"/>
  <c r="AK223" i="1"/>
  <c r="AL223" i="1" s="1"/>
  <c r="AI223" i="1"/>
  <c r="AJ223" i="1" s="1"/>
  <c r="D223" i="1"/>
  <c r="E223" i="1" s="1"/>
  <c r="S223" i="1"/>
  <c r="T223" i="1" l="1"/>
  <c r="U223" i="1" s="1"/>
  <c r="AP223" i="1"/>
  <c r="H223" i="1"/>
  <c r="M223" i="1" s="1"/>
  <c r="F223" i="1"/>
  <c r="L223" i="1" l="1"/>
  <c r="J224" i="1" s="1"/>
  <c r="K224" i="1" s="1"/>
  <c r="G223" i="1"/>
  <c r="I223" i="1"/>
  <c r="AQ224" i="1" l="1"/>
  <c r="AO223" i="1"/>
  <c r="B224" i="1"/>
  <c r="AF224" i="1" l="1"/>
  <c r="AG224" i="1"/>
  <c r="AH224" i="1" s="1"/>
  <c r="C224" i="1"/>
  <c r="AK224" i="1" l="1"/>
  <c r="AL224" i="1" s="1"/>
  <c r="AM224" i="1"/>
  <c r="AN224" i="1" s="1"/>
  <c r="AI224" i="1"/>
  <c r="AJ224" i="1" s="1"/>
  <c r="D224" i="1"/>
  <c r="E224" i="1" s="1"/>
  <c r="S224" i="1"/>
  <c r="T224" i="1" l="1"/>
  <c r="U224" i="1" s="1"/>
  <c r="AP224" i="1"/>
  <c r="H224" i="1"/>
  <c r="M224" i="1" s="1"/>
  <c r="F224" i="1"/>
  <c r="G224" i="1" l="1"/>
  <c r="I224" i="1"/>
  <c r="L224" i="1"/>
  <c r="J225" i="1" s="1"/>
  <c r="K225" i="1" s="1"/>
  <c r="AQ225" i="1" l="1"/>
  <c r="AO224" i="1"/>
  <c r="B225" i="1"/>
  <c r="AF225" i="1" l="1"/>
  <c r="AG225" i="1"/>
  <c r="AH225" i="1" s="1"/>
  <c r="C225" i="1"/>
  <c r="AI225" i="1" l="1"/>
  <c r="AJ225" i="1" s="1"/>
  <c r="AM225" i="1"/>
  <c r="AN225" i="1" s="1"/>
  <c r="AK225" i="1"/>
  <c r="AL225" i="1" s="1"/>
  <c r="D225" i="1"/>
  <c r="E225" i="1" s="1"/>
  <c r="S225" i="1"/>
  <c r="T225" i="1" l="1"/>
  <c r="U225" i="1" s="1"/>
  <c r="AP225" i="1"/>
  <c r="H225" i="1"/>
  <c r="M225" i="1" s="1"/>
  <c r="F225" i="1"/>
  <c r="I225" i="1" l="1"/>
  <c r="G225" i="1"/>
  <c r="L225" i="1"/>
  <c r="J226" i="1" s="1"/>
  <c r="K226" i="1" s="1"/>
  <c r="AQ226" i="1" l="1"/>
  <c r="AO225" i="1"/>
  <c r="B226" i="1"/>
  <c r="AF226" i="1" l="1"/>
  <c r="C226" i="1"/>
  <c r="AG226" i="1"/>
  <c r="AH226" i="1" s="1"/>
  <c r="AI226" i="1" l="1"/>
  <c r="AJ226" i="1" s="1"/>
  <c r="AM226" i="1"/>
  <c r="AN226" i="1" s="1"/>
  <c r="AK226" i="1"/>
  <c r="AL226" i="1" s="1"/>
  <c r="D226" i="1"/>
  <c r="E226" i="1" s="1"/>
  <c r="S226" i="1"/>
  <c r="T226" i="1" l="1"/>
  <c r="U226" i="1" s="1"/>
  <c r="AP226" i="1"/>
  <c r="H226" i="1"/>
  <c r="M226" i="1" s="1"/>
  <c r="F226" i="1"/>
  <c r="L226" i="1" l="1"/>
  <c r="J227" i="1" s="1"/>
  <c r="K227" i="1" s="1"/>
  <c r="G226" i="1"/>
  <c r="I226" i="1"/>
  <c r="AQ227" i="1" l="1"/>
  <c r="AO226" i="1"/>
  <c r="B227" i="1"/>
  <c r="AF227" i="1" l="1"/>
  <c r="C227" i="1"/>
  <c r="AG227" i="1"/>
  <c r="AH227" i="1" s="1"/>
  <c r="AI227" i="1" l="1"/>
  <c r="AJ227" i="1" s="1"/>
  <c r="AM227" i="1"/>
  <c r="AN227" i="1" s="1"/>
  <c r="AK227" i="1"/>
  <c r="AL227" i="1" s="1"/>
  <c r="D227" i="1"/>
  <c r="E227" i="1" s="1"/>
  <c r="S227" i="1"/>
  <c r="T227" i="1" l="1"/>
  <c r="U227" i="1" s="1"/>
  <c r="AP227" i="1"/>
  <c r="H227" i="1"/>
  <c r="M227" i="1" s="1"/>
  <c r="F227" i="1"/>
  <c r="G227" i="1" l="1"/>
  <c r="I227" i="1"/>
  <c r="L227" i="1"/>
  <c r="J228" i="1" s="1"/>
  <c r="K228" i="1" s="1"/>
  <c r="AQ228" i="1" l="1"/>
  <c r="AO227" i="1"/>
  <c r="B228" i="1"/>
  <c r="AF228" i="1" l="1"/>
  <c r="C228" i="1"/>
  <c r="AG228" i="1"/>
  <c r="AH228" i="1" s="1"/>
  <c r="AK228" i="1" l="1"/>
  <c r="AL228" i="1" s="1"/>
  <c r="AI228" i="1"/>
  <c r="AJ228" i="1" s="1"/>
  <c r="AM228" i="1"/>
  <c r="AN228" i="1" s="1"/>
  <c r="D228" i="1"/>
  <c r="E228" i="1" s="1"/>
  <c r="S228" i="1"/>
  <c r="T228" i="1" l="1"/>
  <c r="U228" i="1" s="1"/>
  <c r="AP228" i="1"/>
  <c r="H228" i="1"/>
  <c r="M228" i="1" s="1"/>
  <c r="F228" i="1"/>
  <c r="G228" i="1" l="1"/>
  <c r="I228" i="1"/>
  <c r="L228" i="1"/>
  <c r="J229" i="1" s="1"/>
  <c r="K229" i="1" s="1"/>
  <c r="AQ229" i="1" l="1"/>
  <c r="AO228" i="1"/>
  <c r="B229" i="1"/>
  <c r="AF229" i="1" l="1"/>
  <c r="C229" i="1"/>
  <c r="AG229" i="1"/>
  <c r="AH229" i="1" s="1"/>
  <c r="AM229" i="1" l="1"/>
  <c r="AN229" i="1" s="1"/>
  <c r="AK229" i="1"/>
  <c r="AL229" i="1" s="1"/>
  <c r="AI229" i="1"/>
  <c r="AJ229" i="1" s="1"/>
  <c r="D229" i="1"/>
  <c r="E229" i="1" s="1"/>
  <c r="S229" i="1"/>
  <c r="T229" i="1" l="1"/>
  <c r="U229" i="1" s="1"/>
  <c r="AP229" i="1"/>
  <c r="H229" i="1"/>
  <c r="M229" i="1" s="1"/>
  <c r="F229" i="1"/>
  <c r="G229" i="1" l="1"/>
  <c r="I229" i="1"/>
  <c r="L229" i="1"/>
  <c r="J230" i="1" s="1"/>
  <c r="K230" i="1" s="1"/>
  <c r="AQ230" i="1" l="1"/>
  <c r="AO229" i="1"/>
  <c r="B230" i="1"/>
  <c r="AF230" i="1" l="1"/>
  <c r="C230" i="1"/>
  <c r="AG230" i="1"/>
  <c r="AH230" i="1" s="1"/>
  <c r="AM230" i="1" l="1"/>
  <c r="AN230" i="1" s="1"/>
  <c r="AI230" i="1"/>
  <c r="AJ230" i="1" s="1"/>
  <c r="AK230" i="1"/>
  <c r="AL230" i="1" s="1"/>
  <c r="D230" i="1"/>
  <c r="E230" i="1" s="1"/>
  <c r="S230" i="1"/>
  <c r="T230" i="1" l="1"/>
  <c r="U230" i="1" s="1"/>
  <c r="AP230" i="1"/>
  <c r="H230" i="1"/>
  <c r="M230" i="1" s="1"/>
  <c r="F230" i="1"/>
  <c r="L230" i="1" l="1"/>
  <c r="J231" i="1" s="1"/>
  <c r="K231" i="1" s="1"/>
  <c r="I230" i="1"/>
  <c r="G230" i="1"/>
  <c r="AQ231" i="1" l="1"/>
  <c r="AO230" i="1"/>
  <c r="B231" i="1"/>
  <c r="AF231" i="1" l="1"/>
  <c r="C231" i="1"/>
  <c r="AG231" i="1"/>
  <c r="AH231" i="1" s="1"/>
  <c r="AK231" i="1" l="1"/>
  <c r="AL231" i="1" s="1"/>
  <c r="AM231" i="1"/>
  <c r="AN231" i="1" s="1"/>
  <c r="AI231" i="1"/>
  <c r="AJ231" i="1" s="1"/>
  <c r="D231" i="1"/>
  <c r="E231" i="1" s="1"/>
  <c r="S231" i="1"/>
  <c r="T231" i="1" l="1"/>
  <c r="U231" i="1" s="1"/>
  <c r="AP231" i="1"/>
  <c r="H231" i="1"/>
  <c r="M231" i="1" s="1"/>
  <c r="F231" i="1"/>
  <c r="I231" i="1" l="1"/>
  <c r="G231" i="1"/>
  <c r="L231" i="1"/>
  <c r="J232" i="1" s="1"/>
  <c r="K232" i="1" s="1"/>
  <c r="AQ232" i="1" l="1"/>
  <c r="AO231" i="1"/>
  <c r="B232" i="1"/>
  <c r="AF232" i="1" l="1"/>
  <c r="AG232" i="1"/>
  <c r="AH232" i="1" s="1"/>
  <c r="C232" i="1"/>
  <c r="AI232" i="1" l="1"/>
  <c r="AJ232" i="1" s="1"/>
  <c r="AK232" i="1"/>
  <c r="AL232" i="1" s="1"/>
  <c r="AM232" i="1"/>
  <c r="AN232" i="1" s="1"/>
  <c r="D232" i="1"/>
  <c r="E232" i="1" s="1"/>
  <c r="S232" i="1"/>
  <c r="T232" i="1" l="1"/>
  <c r="U232" i="1" s="1"/>
  <c r="AP232" i="1"/>
  <c r="H232" i="1"/>
  <c r="M232" i="1" s="1"/>
  <c r="F232" i="1"/>
  <c r="G232" i="1" l="1"/>
  <c r="I232" i="1"/>
  <c r="L232" i="1"/>
  <c r="J233" i="1" s="1"/>
  <c r="K233" i="1" s="1"/>
  <c r="AQ233" i="1" l="1"/>
  <c r="AO232" i="1"/>
  <c r="B233" i="1"/>
  <c r="AF233" i="1" l="1"/>
  <c r="C233" i="1"/>
  <c r="AG233" i="1"/>
  <c r="AH233" i="1" s="1"/>
  <c r="AK233" i="1" l="1"/>
  <c r="AL233" i="1" s="1"/>
  <c r="AM233" i="1"/>
  <c r="AN233" i="1" s="1"/>
  <c r="AI233" i="1"/>
  <c r="AJ233" i="1" s="1"/>
  <c r="D233" i="1"/>
  <c r="E233" i="1" s="1"/>
  <c r="S233" i="1"/>
  <c r="T233" i="1" l="1"/>
  <c r="U233" i="1" s="1"/>
  <c r="AP233" i="1"/>
  <c r="H233" i="1"/>
  <c r="M233" i="1" s="1"/>
  <c r="F233" i="1"/>
  <c r="G233" i="1" l="1"/>
  <c r="L233" i="1"/>
  <c r="J234" i="1" s="1"/>
  <c r="K234" i="1" s="1"/>
  <c r="I233" i="1"/>
  <c r="AQ234" i="1" l="1"/>
  <c r="AO233" i="1"/>
  <c r="B234" i="1"/>
  <c r="AF234" i="1" l="1"/>
  <c r="AG234" i="1"/>
  <c r="AH234" i="1" s="1"/>
  <c r="C234" i="1"/>
  <c r="AI234" i="1" l="1"/>
  <c r="AJ234" i="1" s="1"/>
  <c r="AK234" i="1"/>
  <c r="AL234" i="1" s="1"/>
  <c r="AM234" i="1"/>
  <c r="AN234" i="1" s="1"/>
  <c r="D234" i="1"/>
  <c r="E234" i="1" s="1"/>
  <c r="S234" i="1"/>
  <c r="T234" i="1" l="1"/>
  <c r="U234" i="1" s="1"/>
  <c r="AP234" i="1"/>
  <c r="H234" i="1"/>
  <c r="M234" i="1" s="1"/>
  <c r="F234" i="1"/>
  <c r="G234" i="1" l="1"/>
  <c r="L234" i="1"/>
  <c r="J235" i="1" s="1"/>
  <c r="K235" i="1" s="1"/>
  <c r="I234" i="1"/>
  <c r="AQ235" i="1" l="1"/>
  <c r="AO234" i="1"/>
  <c r="B235" i="1"/>
  <c r="AF235" i="1" l="1"/>
  <c r="C235" i="1"/>
  <c r="AG235" i="1"/>
  <c r="AH235" i="1" s="1"/>
  <c r="AM235" i="1" l="1"/>
  <c r="AN235" i="1" s="1"/>
  <c r="AK235" i="1"/>
  <c r="AL235" i="1" s="1"/>
  <c r="AI235" i="1"/>
  <c r="AJ235" i="1" s="1"/>
  <c r="D235" i="1"/>
  <c r="E235" i="1" s="1"/>
  <c r="S235" i="1"/>
  <c r="T235" i="1" l="1"/>
  <c r="U235" i="1" s="1"/>
  <c r="U372" i="1" s="1"/>
  <c r="AP235" i="1"/>
  <c r="H235" i="1"/>
  <c r="M235" i="1" s="1"/>
  <c r="F235" i="1"/>
  <c r="G235" i="1" l="1"/>
  <c r="I235" i="1"/>
  <c r="L235" i="1"/>
  <c r="J236" i="1" s="1"/>
  <c r="K236" i="1" s="1"/>
  <c r="AQ236" i="1" l="1"/>
  <c r="AO235" i="1"/>
  <c r="B236" i="1"/>
  <c r="AF236" i="1" l="1"/>
  <c r="C236" i="1"/>
  <c r="D236" i="1" s="1"/>
  <c r="AG236" i="1"/>
  <c r="AH236" i="1" s="1"/>
  <c r="E236" i="1" l="1"/>
  <c r="H236" i="1" s="1"/>
  <c r="M236" i="1" s="1"/>
  <c r="AI236" i="1"/>
  <c r="AJ236" i="1" s="1"/>
  <c r="AM236" i="1"/>
  <c r="AN236" i="1" s="1"/>
  <c r="AK236" i="1"/>
  <c r="AL236" i="1" s="1"/>
  <c r="F236" i="1" l="1"/>
  <c r="I236" i="1"/>
  <c r="L236" i="1"/>
  <c r="J237" i="1" s="1"/>
  <c r="K237" i="1" s="1"/>
  <c r="AQ237" i="1" s="1"/>
  <c r="G236" i="1"/>
  <c r="AP236" i="1"/>
  <c r="AO236" i="1"/>
  <c r="B237" i="1"/>
  <c r="AF237" i="1" l="1"/>
  <c r="AG237" i="1"/>
  <c r="AH237" i="1" s="1"/>
  <c r="C237" i="1"/>
  <c r="D237" i="1" s="1"/>
  <c r="E237" i="1" l="1"/>
  <c r="H237" i="1" s="1"/>
  <c r="M237" i="1" s="1"/>
  <c r="AK237" i="1"/>
  <c r="AL237" i="1" s="1"/>
  <c r="AI237" i="1"/>
  <c r="AJ237" i="1" s="1"/>
  <c r="AM237" i="1"/>
  <c r="AN237" i="1" s="1"/>
  <c r="F237" i="1" l="1"/>
  <c r="G237" i="1" s="1"/>
  <c r="L237" i="1"/>
  <c r="J238" i="1" s="1"/>
  <c r="K238" i="1" s="1"/>
  <c r="AQ238" i="1" s="1"/>
  <c r="I237" i="1"/>
  <c r="AP237" i="1"/>
  <c r="AO237" i="1" l="1"/>
  <c r="B238" i="1"/>
  <c r="AF238" i="1"/>
  <c r="C238" i="1"/>
  <c r="D238" i="1" s="1"/>
  <c r="AG238" i="1"/>
  <c r="AH238" i="1" s="1"/>
  <c r="E238" i="1" l="1"/>
  <c r="H238" i="1" s="1"/>
  <c r="M238" i="1" s="1"/>
  <c r="AK238" i="1"/>
  <c r="AL238" i="1" s="1"/>
  <c r="AI238" i="1"/>
  <c r="AJ238" i="1" s="1"/>
  <c r="AM238" i="1"/>
  <c r="AN238" i="1" s="1"/>
  <c r="F238" i="1" l="1"/>
  <c r="G238" i="1" s="1"/>
  <c r="I238" i="1"/>
  <c r="L238" i="1"/>
  <c r="J239" i="1" s="1"/>
  <c r="K239" i="1" s="1"/>
  <c r="AQ239" i="1" s="1"/>
  <c r="AP238" i="1"/>
  <c r="AO238" i="1" l="1"/>
  <c r="B239" i="1"/>
  <c r="AF239" i="1" s="1"/>
  <c r="C239" i="1" l="1"/>
  <c r="D239" i="1" s="1"/>
  <c r="E239" i="1" s="1"/>
  <c r="H239" i="1" s="1"/>
  <c r="M239" i="1" s="1"/>
  <c r="AG239" i="1"/>
  <c r="AH239" i="1" s="1"/>
  <c r="AI239" i="1" s="1"/>
  <c r="AJ239" i="1" s="1"/>
  <c r="AM239" i="1" l="1"/>
  <c r="AN239" i="1" s="1"/>
  <c r="AK239" i="1"/>
  <c r="AL239" i="1" s="1"/>
  <c r="F239" i="1"/>
  <c r="G239" i="1" s="1"/>
  <c r="B240" i="1" s="1"/>
  <c r="L239" i="1"/>
  <c r="J240" i="1" s="1"/>
  <c r="K240" i="1" s="1"/>
  <c r="AQ240" i="1" s="1"/>
  <c r="I239" i="1"/>
  <c r="AP239" i="1" l="1"/>
  <c r="AO239" i="1"/>
  <c r="AF240" i="1"/>
  <c r="AG240" i="1"/>
  <c r="AH240" i="1" s="1"/>
  <c r="C240" i="1"/>
  <c r="D240" i="1" s="1"/>
  <c r="E240" i="1" l="1"/>
  <c r="H240" i="1" s="1"/>
  <c r="M240" i="1" s="1"/>
  <c r="AM240" i="1"/>
  <c r="AN240" i="1" s="1"/>
  <c r="AK240" i="1"/>
  <c r="AL240" i="1" s="1"/>
  <c r="AI240" i="1"/>
  <c r="AJ240" i="1" s="1"/>
  <c r="F240" i="1" l="1"/>
  <c r="G240" i="1" s="1"/>
  <c r="AO240" i="1" s="1"/>
  <c r="L240" i="1"/>
  <c r="J241" i="1" s="1"/>
  <c r="K241" i="1" s="1"/>
  <c r="AQ241" i="1" s="1"/>
  <c r="I240" i="1"/>
  <c r="AP240" i="1"/>
  <c r="B241" i="1" l="1"/>
  <c r="AF241" i="1" s="1"/>
  <c r="AG241" i="1" l="1"/>
  <c r="AH241" i="1" s="1"/>
  <c r="AI241" i="1" s="1"/>
  <c r="AJ241" i="1" s="1"/>
  <c r="C241" i="1"/>
  <c r="D241" i="1" s="1"/>
  <c r="E241" i="1" s="1"/>
  <c r="H241" i="1" s="1"/>
  <c r="M241" i="1" s="1"/>
  <c r="AK241" i="1"/>
  <c r="AL241" i="1" s="1"/>
  <c r="AM241" i="1"/>
  <c r="AN241" i="1" s="1"/>
  <c r="F241" i="1" l="1"/>
  <c r="G241" i="1" s="1"/>
  <c r="I241" i="1"/>
  <c r="L241" i="1"/>
  <c r="J242" i="1" s="1"/>
  <c r="K242" i="1" s="1"/>
  <c r="AQ242" i="1" s="1"/>
  <c r="AP241" i="1"/>
  <c r="B242" i="1" l="1"/>
  <c r="AF242" i="1" s="1"/>
  <c r="AO241" i="1"/>
  <c r="AG242" i="1" l="1"/>
  <c r="AH242" i="1" s="1"/>
  <c r="C242" i="1"/>
  <c r="D242" i="1" s="1"/>
  <c r="E242" i="1" s="1"/>
  <c r="H242" i="1" s="1"/>
  <c r="M242" i="1" s="1"/>
  <c r="AK242" i="1"/>
  <c r="AL242" i="1" s="1"/>
  <c r="AM242" i="1"/>
  <c r="AN242" i="1" s="1"/>
  <c r="AI242" i="1"/>
  <c r="AJ242" i="1" s="1"/>
  <c r="F242" i="1" l="1"/>
  <c r="G242" i="1" s="1"/>
  <c r="AO242" i="1" s="1"/>
  <c r="I242" i="1"/>
  <c r="L242" i="1"/>
  <c r="J243" i="1" s="1"/>
  <c r="K243" i="1" s="1"/>
  <c r="AQ243" i="1" s="1"/>
  <c r="AP242" i="1"/>
  <c r="B243" i="1" l="1"/>
  <c r="AF243" i="1" s="1"/>
  <c r="AG243" i="1" l="1"/>
  <c r="AH243" i="1" s="1"/>
  <c r="AK243" i="1" s="1"/>
  <c r="AL243" i="1" s="1"/>
  <c r="C243" i="1"/>
  <c r="D243" i="1" s="1"/>
  <c r="E243" i="1" s="1"/>
  <c r="AM243" i="1" l="1"/>
  <c r="AN243" i="1" s="1"/>
  <c r="AI243" i="1"/>
  <c r="AJ243" i="1" s="1"/>
  <c r="H243" i="1"/>
  <c r="M243" i="1" s="1"/>
  <c r="L243" i="1" s="1"/>
  <c r="J244" i="1" s="1"/>
  <c r="K244" i="1" s="1"/>
  <c r="AQ244" i="1" s="1"/>
  <c r="F243" i="1"/>
  <c r="AP243" i="1" l="1"/>
  <c r="I243" i="1"/>
  <c r="G243" i="1"/>
  <c r="B244" i="1" s="1"/>
  <c r="AG244" i="1" s="1"/>
  <c r="AH244" i="1" s="1"/>
  <c r="AO243" i="1"/>
  <c r="AF244" i="1"/>
  <c r="C244" i="1"/>
  <c r="D244" i="1" s="1"/>
  <c r="E244" i="1" l="1"/>
  <c r="H244" i="1" s="1"/>
  <c r="M244" i="1" s="1"/>
  <c r="AI244" i="1"/>
  <c r="AJ244" i="1" s="1"/>
  <c r="AK244" i="1"/>
  <c r="AL244" i="1" s="1"/>
  <c r="AM244" i="1"/>
  <c r="AN244" i="1" s="1"/>
  <c r="F244" i="1" l="1"/>
  <c r="G244" i="1" s="1"/>
  <c r="I244" i="1"/>
  <c r="L244" i="1"/>
  <c r="J245" i="1" s="1"/>
  <c r="K245" i="1" s="1"/>
  <c r="AQ245" i="1" s="1"/>
  <c r="AP244" i="1"/>
  <c r="AO244" i="1" l="1"/>
  <c r="B245" i="1"/>
  <c r="AG245" i="1" s="1"/>
  <c r="AH245" i="1" s="1"/>
  <c r="AF245" i="1"/>
  <c r="C245" i="1" l="1"/>
  <c r="D245" i="1" s="1"/>
  <c r="E245" i="1" s="1"/>
  <c r="H245" i="1" s="1"/>
  <c r="M245" i="1" s="1"/>
  <c r="AM245" i="1"/>
  <c r="AN245" i="1" s="1"/>
  <c r="AI245" i="1"/>
  <c r="AJ245" i="1" s="1"/>
  <c r="AK245" i="1"/>
  <c r="AL245" i="1" s="1"/>
  <c r="F245" i="1" l="1"/>
  <c r="G245" i="1" s="1"/>
  <c r="I245" i="1"/>
  <c r="L245" i="1"/>
  <c r="J246" i="1" s="1"/>
  <c r="K246" i="1" s="1"/>
  <c r="AQ246" i="1" s="1"/>
  <c r="AP245" i="1"/>
  <c r="AO245" i="1" l="1"/>
  <c r="B246" i="1"/>
  <c r="AF246" i="1" s="1"/>
  <c r="C246" i="1" l="1"/>
  <c r="D246" i="1" s="1"/>
  <c r="E246" i="1" s="1"/>
  <c r="H246" i="1" s="1"/>
  <c r="M246" i="1" s="1"/>
  <c r="AG246" i="1"/>
  <c r="AH246" i="1" s="1"/>
  <c r="AK246" i="1" l="1"/>
  <c r="AL246" i="1" s="1"/>
  <c r="AI246" i="1"/>
  <c r="AJ246" i="1" s="1"/>
  <c r="AM246" i="1"/>
  <c r="AN246" i="1" s="1"/>
  <c r="F246" i="1"/>
  <c r="G246" i="1" s="1"/>
  <c r="L246" i="1"/>
  <c r="J247" i="1" s="1"/>
  <c r="K247" i="1" s="1"/>
  <c r="AQ247" i="1" s="1"/>
  <c r="I246" i="1"/>
  <c r="B247" i="1" l="1"/>
  <c r="AF247" i="1" s="1"/>
  <c r="AO246" i="1"/>
  <c r="AP246" i="1"/>
  <c r="AG247" i="1" l="1"/>
  <c r="AH247" i="1" s="1"/>
  <c r="AM247" i="1" s="1"/>
  <c r="AN247" i="1" s="1"/>
  <c r="C247" i="1"/>
  <c r="D247" i="1" s="1"/>
  <c r="E247" i="1" s="1"/>
  <c r="H247" i="1" s="1"/>
  <c r="M247" i="1" s="1"/>
  <c r="AI247" i="1" l="1"/>
  <c r="AJ247" i="1" s="1"/>
  <c r="AK247" i="1"/>
  <c r="AL247" i="1" s="1"/>
  <c r="F247" i="1"/>
  <c r="G247" i="1" s="1"/>
  <c r="B248" i="1" s="1"/>
  <c r="L247" i="1"/>
  <c r="J248" i="1" s="1"/>
  <c r="K248" i="1" s="1"/>
  <c r="AQ248" i="1" s="1"/>
  <c r="I247" i="1"/>
  <c r="AP247" i="1" l="1"/>
  <c r="AO247" i="1"/>
  <c r="AF248" i="1"/>
  <c r="AG248" i="1"/>
  <c r="AH248" i="1" s="1"/>
  <c r="C248" i="1"/>
  <c r="D248" i="1" s="1"/>
  <c r="E248" i="1" l="1"/>
  <c r="H248" i="1" s="1"/>
  <c r="AM248" i="1"/>
  <c r="AN248" i="1" s="1"/>
  <c r="AK248" i="1"/>
  <c r="AL248" i="1" s="1"/>
  <c r="AI248" i="1"/>
  <c r="AJ248" i="1" s="1"/>
  <c r="F248" i="1" l="1"/>
  <c r="G248" i="1" s="1"/>
  <c r="I248" i="1"/>
  <c r="M248" i="1"/>
  <c r="L248" i="1" s="1"/>
  <c r="J249" i="1" s="1"/>
  <c r="K249" i="1" s="1"/>
  <c r="AQ249" i="1" s="1"/>
  <c r="AP248" i="1"/>
  <c r="AO248" i="1" l="1"/>
  <c r="B249" i="1"/>
  <c r="AF249" i="1" s="1"/>
  <c r="AG249" i="1" l="1"/>
  <c r="AH249" i="1" s="1"/>
  <c r="C249" i="1"/>
  <c r="D249" i="1" s="1"/>
  <c r="E249" i="1"/>
  <c r="H249" i="1" s="1"/>
  <c r="M249" i="1" s="1"/>
  <c r="AK249" i="1"/>
  <c r="AL249" i="1" s="1"/>
  <c r="AI249" i="1"/>
  <c r="AJ249" i="1" s="1"/>
  <c r="AM249" i="1"/>
  <c r="AN249" i="1" s="1"/>
  <c r="F249" i="1" l="1"/>
  <c r="G249" i="1" s="1"/>
  <c r="L249" i="1"/>
  <c r="J250" i="1" s="1"/>
  <c r="K250" i="1" s="1"/>
  <c r="AQ250" i="1" s="1"/>
  <c r="I249" i="1"/>
  <c r="AP249" i="1"/>
  <c r="B250" i="1" l="1"/>
  <c r="C250" i="1" s="1"/>
  <c r="D250" i="1" s="1"/>
  <c r="AO249" i="1"/>
  <c r="AG250" i="1" l="1"/>
  <c r="AH250" i="1" s="1"/>
  <c r="AK250" i="1" s="1"/>
  <c r="AL250" i="1" s="1"/>
  <c r="AF250" i="1"/>
  <c r="E250" i="1"/>
  <c r="H250" i="1" s="1"/>
  <c r="M250" i="1" s="1"/>
  <c r="AI250" i="1" l="1"/>
  <c r="AJ250" i="1" s="1"/>
  <c r="AM250" i="1"/>
  <c r="AN250" i="1" s="1"/>
  <c r="F250" i="1"/>
  <c r="G250" i="1" s="1"/>
  <c r="L250" i="1"/>
  <c r="J251" i="1" s="1"/>
  <c r="K251" i="1" s="1"/>
  <c r="AQ251" i="1" s="1"/>
  <c r="T31" i="2" s="1"/>
  <c r="I250" i="1"/>
  <c r="AP250" i="1" l="1"/>
  <c r="AO250" i="1"/>
  <c r="B251" i="1"/>
  <c r="AF251" i="1" s="1"/>
  <c r="C251" i="1" l="1"/>
  <c r="D251" i="1" s="1"/>
  <c r="E251" i="1" s="1"/>
  <c r="H251" i="1" s="1"/>
  <c r="M251" i="1" s="1"/>
  <c r="AG251" i="1"/>
  <c r="AH251" i="1" s="1"/>
  <c r="AK251" i="1" s="1"/>
  <c r="AL251" i="1" s="1"/>
  <c r="AM251" i="1" l="1"/>
  <c r="AN251" i="1" s="1"/>
  <c r="AI251" i="1"/>
  <c r="AJ251" i="1" s="1"/>
  <c r="F251" i="1"/>
  <c r="G251" i="1" s="1"/>
  <c r="AO251" i="1" s="1"/>
  <c r="I251" i="1"/>
  <c r="L251" i="1"/>
  <c r="J252" i="1" s="1"/>
  <c r="K252" i="1" s="1"/>
  <c r="AQ252" i="1" s="1"/>
  <c r="AP251" i="1" l="1"/>
  <c r="R31" i="2" s="1"/>
  <c r="B252" i="1"/>
  <c r="AF252" i="1" s="1"/>
  <c r="C252" i="1" l="1"/>
  <c r="D252" i="1" s="1"/>
  <c r="E252" i="1" s="1"/>
  <c r="H252" i="1" s="1"/>
  <c r="M252" i="1" s="1"/>
  <c r="AG252" i="1"/>
  <c r="AH252" i="1" s="1"/>
  <c r="AI252" i="1" s="1"/>
  <c r="AJ252" i="1" s="1"/>
  <c r="AM252" i="1" l="1"/>
  <c r="AN252" i="1" s="1"/>
  <c r="AK252" i="1"/>
  <c r="AL252" i="1" s="1"/>
  <c r="F252" i="1"/>
  <c r="G252" i="1" s="1"/>
  <c r="AO252" i="1" s="1"/>
  <c r="L252" i="1"/>
  <c r="J253" i="1" s="1"/>
  <c r="K253" i="1" s="1"/>
  <c r="AQ253" i="1" s="1"/>
  <c r="I252" i="1"/>
  <c r="AP252" i="1" l="1"/>
  <c r="B253" i="1"/>
  <c r="AF253" i="1" s="1"/>
  <c r="C253" i="1" l="1"/>
  <c r="D253" i="1" s="1"/>
  <c r="E253" i="1" s="1"/>
  <c r="H253" i="1" s="1"/>
  <c r="AG253" i="1"/>
  <c r="AH253" i="1" s="1"/>
  <c r="AM253" i="1" s="1"/>
  <c r="AN253" i="1" s="1"/>
  <c r="AI253" i="1" l="1"/>
  <c r="AJ253" i="1" s="1"/>
  <c r="AK253" i="1"/>
  <c r="AL253" i="1" s="1"/>
  <c r="F253" i="1"/>
  <c r="G253" i="1" s="1"/>
  <c r="I253" i="1"/>
  <c r="M253" i="1"/>
  <c r="L253" i="1" s="1"/>
  <c r="J254" i="1" s="1"/>
  <c r="K254" i="1" s="1"/>
  <c r="AQ254" i="1" s="1"/>
  <c r="AP253" i="1" l="1"/>
  <c r="B254" i="1"/>
  <c r="AG254" i="1" s="1"/>
  <c r="AH254" i="1" s="1"/>
  <c r="AO253" i="1"/>
  <c r="C254" i="1" l="1"/>
  <c r="D254" i="1" s="1"/>
  <c r="E254" i="1" s="1"/>
  <c r="H254" i="1" s="1"/>
  <c r="M254" i="1" s="1"/>
  <c r="AF254" i="1"/>
  <c r="AK254" i="1"/>
  <c r="AL254" i="1" s="1"/>
  <c r="AM254" i="1"/>
  <c r="AN254" i="1" s="1"/>
  <c r="AI254" i="1"/>
  <c r="AJ254" i="1" s="1"/>
  <c r="F254" i="1" l="1"/>
  <c r="I254" i="1"/>
  <c r="L254" i="1"/>
  <c r="J255" i="1" s="1"/>
  <c r="K255" i="1" s="1"/>
  <c r="AQ255" i="1" s="1"/>
  <c r="G254" i="1"/>
  <c r="B255" i="1" s="1"/>
  <c r="AP254" i="1"/>
  <c r="AO254" i="1" l="1"/>
  <c r="AF255" i="1"/>
  <c r="C255" i="1"/>
  <c r="D255" i="1" s="1"/>
  <c r="AG255" i="1"/>
  <c r="AH255" i="1" s="1"/>
  <c r="E255" i="1" l="1"/>
  <c r="H255" i="1" s="1"/>
  <c r="M255" i="1" s="1"/>
  <c r="AK255" i="1"/>
  <c r="AL255" i="1" s="1"/>
  <c r="AI255" i="1"/>
  <c r="AJ255" i="1" s="1"/>
  <c r="AM255" i="1"/>
  <c r="AN255" i="1" s="1"/>
  <c r="F255" i="1" l="1"/>
  <c r="G255" i="1" s="1"/>
  <c r="L255" i="1"/>
  <c r="J256" i="1" s="1"/>
  <c r="K256" i="1" s="1"/>
  <c r="AQ256" i="1" s="1"/>
  <c r="I255" i="1"/>
  <c r="AP255" i="1"/>
  <c r="B256" i="1" l="1"/>
  <c r="AO255" i="1"/>
  <c r="AF256" i="1"/>
  <c r="C256" i="1"/>
  <c r="D256" i="1" s="1"/>
  <c r="AG256" i="1"/>
  <c r="AH256" i="1" s="1"/>
  <c r="E256" i="1" l="1"/>
  <c r="H256" i="1" s="1"/>
  <c r="M256" i="1" s="1"/>
  <c r="AI256" i="1"/>
  <c r="AJ256" i="1" s="1"/>
  <c r="AM256" i="1"/>
  <c r="AN256" i="1" s="1"/>
  <c r="AK256" i="1"/>
  <c r="AL256" i="1" s="1"/>
  <c r="F256" i="1" l="1"/>
  <c r="G256" i="1" s="1"/>
  <c r="I256" i="1"/>
  <c r="L256" i="1"/>
  <c r="J257" i="1" s="1"/>
  <c r="K257" i="1" s="1"/>
  <c r="AQ257" i="1" s="1"/>
  <c r="AP256" i="1"/>
  <c r="B257" i="1" l="1"/>
  <c r="C257" i="1" s="1"/>
  <c r="D257" i="1" s="1"/>
  <c r="AO256" i="1"/>
  <c r="AF257" i="1"/>
  <c r="AG257" i="1"/>
  <c r="AH257" i="1" s="1"/>
  <c r="E257" i="1" l="1"/>
  <c r="H257" i="1" s="1"/>
  <c r="M257" i="1" s="1"/>
  <c r="AM257" i="1"/>
  <c r="AN257" i="1" s="1"/>
  <c r="AI257" i="1"/>
  <c r="AJ257" i="1" s="1"/>
  <c r="AK257" i="1"/>
  <c r="AL257" i="1" s="1"/>
  <c r="F257" i="1" l="1"/>
  <c r="I257" i="1"/>
  <c r="L257" i="1"/>
  <c r="J258" i="1" s="1"/>
  <c r="K258" i="1" s="1"/>
  <c r="AQ258" i="1" s="1"/>
  <c r="G257" i="1"/>
  <c r="B258" i="1" s="1"/>
  <c r="AP257" i="1"/>
  <c r="AO257" i="1" l="1"/>
  <c r="AF258" i="1"/>
  <c r="AG258" i="1"/>
  <c r="AH258" i="1" s="1"/>
  <c r="C258" i="1"/>
  <c r="D258" i="1" s="1"/>
  <c r="E258" i="1" l="1"/>
  <c r="H258" i="1" s="1"/>
  <c r="M258" i="1" s="1"/>
  <c r="AM258" i="1"/>
  <c r="AN258" i="1" s="1"/>
  <c r="AI258" i="1"/>
  <c r="AJ258" i="1" s="1"/>
  <c r="AK258" i="1"/>
  <c r="AL258" i="1" s="1"/>
  <c r="F258" i="1" l="1"/>
  <c r="G258" i="1" s="1"/>
  <c r="I258" i="1"/>
  <c r="L258" i="1"/>
  <c r="J259" i="1" s="1"/>
  <c r="K259" i="1" s="1"/>
  <c r="AQ259" i="1" s="1"/>
  <c r="AP258" i="1"/>
  <c r="B259" i="1" l="1"/>
  <c r="AF259" i="1" s="1"/>
  <c r="AO258" i="1"/>
  <c r="AG259" i="1" l="1"/>
  <c r="AH259" i="1" s="1"/>
  <c r="C259" i="1"/>
  <c r="D259" i="1" s="1"/>
  <c r="E259" i="1" s="1"/>
  <c r="H259" i="1" s="1"/>
  <c r="M259" i="1" s="1"/>
  <c r="AK259" i="1"/>
  <c r="AL259" i="1" s="1"/>
  <c r="AM259" i="1"/>
  <c r="AN259" i="1" s="1"/>
  <c r="AI259" i="1"/>
  <c r="AJ259" i="1" s="1"/>
  <c r="F259" i="1" l="1"/>
  <c r="G259" i="1" s="1"/>
  <c r="AO259" i="1" s="1"/>
  <c r="L259" i="1"/>
  <c r="J260" i="1" s="1"/>
  <c r="K260" i="1" s="1"/>
  <c r="AQ260" i="1" s="1"/>
  <c r="I259" i="1"/>
  <c r="AP259" i="1"/>
  <c r="B260" i="1" l="1"/>
  <c r="AF260" i="1" s="1"/>
  <c r="AG260" i="1" l="1"/>
  <c r="AH260" i="1" s="1"/>
  <c r="AI260" i="1" s="1"/>
  <c r="AJ260" i="1" s="1"/>
  <c r="C260" i="1"/>
  <c r="D260" i="1" s="1"/>
  <c r="E260" i="1" s="1"/>
  <c r="AK260" i="1" l="1"/>
  <c r="AL260" i="1" s="1"/>
  <c r="AM260" i="1"/>
  <c r="AN260" i="1" s="1"/>
  <c r="H260" i="1"/>
  <c r="M260" i="1" s="1"/>
  <c r="L260" i="1" s="1"/>
  <c r="J261" i="1" s="1"/>
  <c r="K261" i="1" s="1"/>
  <c r="AQ261" i="1" s="1"/>
  <c r="F260" i="1"/>
  <c r="AP260" i="1" l="1"/>
  <c r="G260" i="1"/>
  <c r="I260" i="1"/>
  <c r="AO260" i="1" l="1"/>
  <c r="B261" i="1"/>
  <c r="AF261" i="1" l="1"/>
  <c r="AG261" i="1"/>
  <c r="AH261" i="1" s="1"/>
  <c r="C261" i="1"/>
  <c r="D261" i="1" s="1"/>
  <c r="E261" i="1" s="1"/>
  <c r="AI261" i="1" l="1"/>
  <c r="AJ261" i="1" s="1"/>
  <c r="AM261" i="1"/>
  <c r="AN261" i="1" s="1"/>
  <c r="AK261" i="1"/>
  <c r="AL261" i="1" s="1"/>
  <c r="H261" i="1"/>
  <c r="F261" i="1"/>
  <c r="M261" i="1" l="1"/>
  <c r="L261" i="1" s="1"/>
  <c r="J262" i="1" s="1"/>
  <c r="K262" i="1" s="1"/>
  <c r="AQ262" i="1" s="1"/>
  <c r="G261" i="1"/>
  <c r="I261" i="1"/>
  <c r="AP261" i="1"/>
  <c r="B262" i="1" l="1"/>
  <c r="AO261" i="1"/>
  <c r="AG262" i="1" l="1"/>
  <c r="AH262" i="1" s="1"/>
  <c r="C262" i="1"/>
  <c r="D262" i="1" s="1"/>
  <c r="E262" i="1" s="1"/>
  <c r="H262" i="1" s="1"/>
  <c r="AF262" i="1"/>
  <c r="M262" i="1" l="1"/>
  <c r="L262" i="1" s="1"/>
  <c r="J263" i="1" s="1"/>
  <c r="K263" i="1" s="1"/>
  <c r="AQ263" i="1" s="1"/>
  <c r="I262" i="1"/>
  <c r="F262" i="1"/>
  <c r="G262" i="1" s="1"/>
  <c r="AM262" i="1"/>
  <c r="AN262" i="1" s="1"/>
  <c r="AK262" i="1"/>
  <c r="AL262" i="1" s="1"/>
  <c r="AI262" i="1"/>
  <c r="AJ262" i="1" s="1"/>
  <c r="AP262" i="1" l="1"/>
  <c r="B263" i="1"/>
  <c r="AO262" i="1"/>
  <c r="AF263" i="1" l="1"/>
  <c r="AG263" i="1"/>
  <c r="AH263" i="1" s="1"/>
  <c r="C263" i="1"/>
  <c r="D263" i="1" s="1"/>
  <c r="E263" i="1" s="1"/>
  <c r="AK263" i="1" l="1"/>
  <c r="AL263" i="1" s="1"/>
  <c r="AM263" i="1"/>
  <c r="AN263" i="1" s="1"/>
  <c r="AI263" i="1"/>
  <c r="AJ263" i="1" s="1"/>
  <c r="H263" i="1"/>
  <c r="F263" i="1"/>
  <c r="AP263" i="1" l="1"/>
  <c r="M263" i="1"/>
  <c r="L263" i="1" s="1"/>
  <c r="J264" i="1" s="1"/>
  <c r="K264" i="1" s="1"/>
  <c r="AQ264" i="1" s="1"/>
  <c r="I263" i="1"/>
  <c r="G263" i="1"/>
  <c r="AO263" i="1" l="1"/>
  <c r="B264" i="1"/>
  <c r="C264" i="1" l="1"/>
  <c r="D264" i="1" s="1"/>
  <c r="E264" i="1" s="1"/>
  <c r="H264" i="1" s="1"/>
  <c r="AF264" i="1"/>
  <c r="AG264" i="1"/>
  <c r="AH264" i="1" s="1"/>
  <c r="F264" i="1" l="1"/>
  <c r="G264" i="1" s="1"/>
  <c r="AK264" i="1"/>
  <c r="AL264" i="1" s="1"/>
  <c r="AI264" i="1"/>
  <c r="AJ264" i="1" s="1"/>
  <c r="AM264" i="1"/>
  <c r="AN264" i="1" s="1"/>
  <c r="M264" i="1"/>
  <c r="L264" i="1" s="1"/>
  <c r="J265" i="1" s="1"/>
  <c r="K265" i="1" s="1"/>
  <c r="AQ265" i="1" s="1"/>
  <c r="I264" i="1"/>
  <c r="AO264" i="1" l="1"/>
  <c r="B265" i="1"/>
  <c r="AP264" i="1"/>
  <c r="AG265" i="1" l="1"/>
  <c r="AH265" i="1" s="1"/>
  <c r="C265" i="1"/>
  <c r="D265" i="1" s="1"/>
  <c r="E265" i="1" s="1"/>
  <c r="H265" i="1" s="1"/>
  <c r="AF265" i="1"/>
  <c r="M265" i="1" l="1"/>
  <c r="L265" i="1" s="1"/>
  <c r="J266" i="1" s="1"/>
  <c r="K266" i="1" s="1"/>
  <c r="AQ266" i="1" s="1"/>
  <c r="I265" i="1"/>
  <c r="F265" i="1"/>
  <c r="G265" i="1" s="1"/>
  <c r="AK265" i="1"/>
  <c r="AL265" i="1" s="1"/>
  <c r="AI265" i="1"/>
  <c r="AJ265" i="1" s="1"/>
  <c r="AM265" i="1"/>
  <c r="AN265" i="1" s="1"/>
  <c r="AO265" i="1" l="1"/>
  <c r="B266" i="1"/>
  <c r="AP265" i="1"/>
  <c r="AF266" i="1" l="1"/>
  <c r="C266" i="1"/>
  <c r="D266" i="1" s="1"/>
  <c r="E266" i="1" s="1"/>
  <c r="H266" i="1" s="1"/>
  <c r="AG266" i="1"/>
  <c r="AH266" i="1" s="1"/>
  <c r="F266" i="1" l="1"/>
  <c r="G266" i="1" s="1"/>
  <c r="M266" i="1"/>
  <c r="L266" i="1" s="1"/>
  <c r="J267" i="1" s="1"/>
  <c r="K267" i="1" s="1"/>
  <c r="AQ267" i="1" s="1"/>
  <c r="I266" i="1"/>
  <c r="AM266" i="1"/>
  <c r="AN266" i="1" s="1"/>
  <c r="AK266" i="1"/>
  <c r="AL266" i="1" s="1"/>
  <c r="AI266" i="1"/>
  <c r="AJ266" i="1" s="1"/>
  <c r="AP266" i="1" l="1"/>
  <c r="AO266" i="1"/>
  <c r="B267" i="1"/>
  <c r="C267" i="1" l="1"/>
  <c r="D267" i="1" s="1"/>
  <c r="E267" i="1" s="1"/>
  <c r="H267" i="1" s="1"/>
  <c r="AG267" i="1"/>
  <c r="AH267" i="1" s="1"/>
  <c r="AF267" i="1"/>
  <c r="F267" i="1" l="1"/>
  <c r="G267" i="1" s="1"/>
  <c r="AM267" i="1"/>
  <c r="AN267" i="1" s="1"/>
  <c r="AK267" i="1"/>
  <c r="AL267" i="1" s="1"/>
  <c r="AI267" i="1"/>
  <c r="AJ267" i="1" s="1"/>
  <c r="M267" i="1"/>
  <c r="L267" i="1" s="1"/>
  <c r="J268" i="1" s="1"/>
  <c r="K268" i="1" s="1"/>
  <c r="AQ268" i="1" s="1"/>
  <c r="I267" i="1"/>
  <c r="AP267" i="1" l="1"/>
  <c r="B268" i="1"/>
  <c r="AO267" i="1"/>
  <c r="AF268" i="1" l="1"/>
  <c r="AG268" i="1"/>
  <c r="AH268" i="1" s="1"/>
  <c r="C268" i="1"/>
  <c r="D268" i="1" s="1"/>
  <c r="E268" i="1" s="1"/>
  <c r="H268" i="1" s="1"/>
  <c r="F268" i="1" l="1"/>
  <c r="G268" i="1" s="1"/>
  <c r="M268" i="1"/>
  <c r="L268" i="1" s="1"/>
  <c r="J269" i="1" s="1"/>
  <c r="K269" i="1" s="1"/>
  <c r="AQ269" i="1" s="1"/>
  <c r="I268" i="1"/>
  <c r="AM268" i="1"/>
  <c r="AN268" i="1" s="1"/>
  <c r="AK268" i="1"/>
  <c r="AL268" i="1" s="1"/>
  <c r="AI268" i="1"/>
  <c r="AJ268" i="1" s="1"/>
  <c r="AP268" i="1" l="1"/>
  <c r="AO268" i="1"/>
  <c r="B269" i="1"/>
  <c r="AF269" i="1" l="1"/>
  <c r="C269" i="1"/>
  <c r="D269" i="1" s="1"/>
  <c r="E269" i="1" s="1"/>
  <c r="H269" i="1" s="1"/>
  <c r="AG269" i="1"/>
  <c r="AH269" i="1" s="1"/>
  <c r="F269" i="1" l="1"/>
  <c r="G269" i="1" s="1"/>
  <c r="AM269" i="1"/>
  <c r="AN269" i="1" s="1"/>
  <c r="AI269" i="1"/>
  <c r="AJ269" i="1" s="1"/>
  <c r="AK269" i="1"/>
  <c r="AL269" i="1" s="1"/>
  <c r="M269" i="1"/>
  <c r="L269" i="1" s="1"/>
  <c r="J270" i="1" s="1"/>
  <c r="K270" i="1" s="1"/>
  <c r="AQ270" i="1" s="1"/>
  <c r="I269" i="1"/>
  <c r="AP269" i="1" l="1"/>
  <c r="AO269" i="1"/>
  <c r="B270" i="1"/>
  <c r="AF270" i="1" l="1"/>
  <c r="AG270" i="1"/>
  <c r="AH270" i="1" s="1"/>
  <c r="C270" i="1"/>
  <c r="D270" i="1" s="1"/>
  <c r="E270" i="1" s="1"/>
  <c r="H270" i="1" s="1"/>
  <c r="F270" i="1" l="1"/>
  <c r="G270" i="1" s="1"/>
  <c r="AI270" i="1"/>
  <c r="AJ270" i="1" s="1"/>
  <c r="AK270" i="1"/>
  <c r="AL270" i="1" s="1"/>
  <c r="AM270" i="1"/>
  <c r="AN270" i="1" s="1"/>
  <c r="M270" i="1"/>
  <c r="L270" i="1" s="1"/>
  <c r="J271" i="1" s="1"/>
  <c r="K271" i="1" s="1"/>
  <c r="AQ271" i="1" s="1"/>
  <c r="I270" i="1"/>
  <c r="AO270" i="1" l="1"/>
  <c r="B271" i="1"/>
  <c r="AP270" i="1"/>
  <c r="AF271" i="1" l="1"/>
  <c r="AG271" i="1"/>
  <c r="AH271" i="1" s="1"/>
  <c r="C271" i="1"/>
  <c r="D271" i="1" s="1"/>
  <c r="E271" i="1" s="1"/>
  <c r="H271" i="1" s="1"/>
  <c r="F271" i="1" l="1"/>
  <c r="G271" i="1" s="1"/>
  <c r="M271" i="1"/>
  <c r="L271" i="1" s="1"/>
  <c r="J272" i="1" s="1"/>
  <c r="K272" i="1" s="1"/>
  <c r="AQ272" i="1" s="1"/>
  <c r="I271" i="1"/>
  <c r="AM271" i="1"/>
  <c r="AN271" i="1" s="1"/>
  <c r="AK271" i="1"/>
  <c r="AL271" i="1" s="1"/>
  <c r="AI271" i="1"/>
  <c r="AJ271" i="1" s="1"/>
  <c r="AP271" i="1" l="1"/>
  <c r="AO271" i="1"/>
  <c r="B272" i="1"/>
  <c r="AG272" i="1" l="1"/>
  <c r="AH272" i="1" s="1"/>
  <c r="AF272" i="1"/>
  <c r="C272" i="1"/>
  <c r="D272" i="1" s="1"/>
  <c r="E272" i="1" s="1"/>
  <c r="H272" i="1" s="1"/>
  <c r="F272" i="1" l="1"/>
  <c r="G272" i="1" s="1"/>
  <c r="M272" i="1"/>
  <c r="L272" i="1" s="1"/>
  <c r="J273" i="1" s="1"/>
  <c r="K273" i="1" s="1"/>
  <c r="AQ273" i="1" s="1"/>
  <c r="I272" i="1"/>
  <c r="AI272" i="1"/>
  <c r="AJ272" i="1" s="1"/>
  <c r="AM272" i="1"/>
  <c r="AN272" i="1" s="1"/>
  <c r="AK272" i="1"/>
  <c r="AL272" i="1" s="1"/>
  <c r="AP272" i="1" l="1"/>
  <c r="AO272" i="1"/>
  <c r="B273" i="1"/>
  <c r="C273" i="1" l="1"/>
  <c r="D273" i="1" s="1"/>
  <c r="E273" i="1" s="1"/>
  <c r="H273" i="1" s="1"/>
  <c r="AG273" i="1"/>
  <c r="AH273" i="1" s="1"/>
  <c r="AF273" i="1"/>
  <c r="F273" i="1" l="1"/>
  <c r="AI273" i="1"/>
  <c r="AJ273" i="1" s="1"/>
  <c r="AM273" i="1"/>
  <c r="AN273" i="1" s="1"/>
  <c r="AK273" i="1"/>
  <c r="AL273" i="1" s="1"/>
  <c r="M273" i="1"/>
  <c r="L273" i="1" s="1"/>
  <c r="J274" i="1" s="1"/>
  <c r="K274" i="1" s="1"/>
  <c r="AQ274" i="1" s="1"/>
  <c r="I273" i="1"/>
  <c r="G273" i="1"/>
  <c r="AO273" i="1" l="1"/>
  <c r="B274" i="1"/>
  <c r="AP273" i="1"/>
  <c r="AG274" i="1" l="1"/>
  <c r="AH274" i="1" s="1"/>
  <c r="AF274" i="1"/>
  <c r="C274" i="1"/>
  <c r="D274" i="1" s="1"/>
  <c r="E274" i="1" s="1"/>
  <c r="H274" i="1" s="1"/>
  <c r="M274" i="1" l="1"/>
  <c r="L274" i="1" s="1"/>
  <c r="J275" i="1" s="1"/>
  <c r="K275" i="1" s="1"/>
  <c r="AQ275" i="1" s="1"/>
  <c r="I274" i="1"/>
  <c r="F274" i="1"/>
  <c r="G274" i="1" s="1"/>
  <c r="AK274" i="1"/>
  <c r="AL274" i="1" s="1"/>
  <c r="AI274" i="1"/>
  <c r="AJ274" i="1" s="1"/>
  <c r="AM274" i="1"/>
  <c r="AN274" i="1" s="1"/>
  <c r="AP274" i="1" l="1"/>
  <c r="AO274" i="1"/>
  <c r="B275" i="1"/>
  <c r="AF275" i="1" l="1"/>
  <c r="AG275" i="1"/>
  <c r="AH275" i="1" s="1"/>
  <c r="C275" i="1"/>
  <c r="D275" i="1" s="1"/>
  <c r="E275" i="1" s="1"/>
  <c r="H275" i="1" s="1"/>
  <c r="F275" i="1" l="1"/>
  <c r="AM275" i="1"/>
  <c r="AN275" i="1" s="1"/>
  <c r="AK275" i="1"/>
  <c r="AL275" i="1" s="1"/>
  <c r="AI275" i="1"/>
  <c r="AJ275" i="1" s="1"/>
  <c r="M275" i="1"/>
  <c r="L275" i="1" s="1"/>
  <c r="J276" i="1" s="1"/>
  <c r="K276" i="1" s="1"/>
  <c r="AQ276" i="1" s="1"/>
  <c r="I275" i="1"/>
  <c r="G275" i="1"/>
  <c r="AP275" i="1" l="1"/>
  <c r="AO275" i="1"/>
  <c r="B276" i="1"/>
  <c r="AF276" i="1" l="1"/>
  <c r="AG276" i="1"/>
  <c r="AH276" i="1" s="1"/>
  <c r="C276" i="1"/>
  <c r="D276" i="1" s="1"/>
  <c r="E276" i="1" s="1"/>
  <c r="H276" i="1" s="1"/>
  <c r="F276" i="1" l="1"/>
  <c r="G276" i="1" s="1"/>
  <c r="M276" i="1"/>
  <c r="L276" i="1" s="1"/>
  <c r="J277" i="1" s="1"/>
  <c r="K277" i="1" s="1"/>
  <c r="AQ277" i="1" s="1"/>
  <c r="I276" i="1"/>
  <c r="AM276" i="1"/>
  <c r="AN276" i="1" s="1"/>
  <c r="AI276" i="1"/>
  <c r="AJ276" i="1" s="1"/>
  <c r="AK276" i="1"/>
  <c r="AL276" i="1" s="1"/>
  <c r="AP276" i="1" l="1"/>
  <c r="AO276" i="1"/>
  <c r="B277" i="1"/>
  <c r="AF277" i="1" l="1"/>
  <c r="C277" i="1"/>
  <c r="D277" i="1" s="1"/>
  <c r="E277" i="1" s="1"/>
  <c r="H277" i="1" s="1"/>
  <c r="AG277" i="1"/>
  <c r="AH277" i="1" s="1"/>
  <c r="F277" i="1" l="1"/>
  <c r="G277" i="1" s="1"/>
  <c r="M277" i="1"/>
  <c r="L277" i="1" s="1"/>
  <c r="J278" i="1" s="1"/>
  <c r="K278" i="1" s="1"/>
  <c r="AQ278" i="1" s="1"/>
  <c r="I277" i="1"/>
  <c r="AM277" i="1"/>
  <c r="AN277" i="1" s="1"/>
  <c r="AI277" i="1"/>
  <c r="AJ277" i="1" s="1"/>
  <c r="AK277" i="1"/>
  <c r="AL277" i="1" s="1"/>
  <c r="AP277" i="1" l="1"/>
  <c r="AO277" i="1"/>
  <c r="B278" i="1"/>
  <c r="AF278" i="1" l="1"/>
  <c r="C278" i="1"/>
  <c r="D278" i="1" s="1"/>
  <c r="E278" i="1" s="1"/>
  <c r="H278" i="1" s="1"/>
  <c r="AG278" i="1"/>
  <c r="AH278" i="1" s="1"/>
  <c r="F278" i="1" l="1"/>
  <c r="M278" i="1"/>
  <c r="L278" i="1" s="1"/>
  <c r="J279" i="1" s="1"/>
  <c r="K279" i="1" s="1"/>
  <c r="AQ279" i="1" s="1"/>
  <c r="G278" i="1"/>
  <c r="I278" i="1"/>
  <c r="AI278" i="1"/>
  <c r="AJ278" i="1" s="1"/>
  <c r="AK278" i="1"/>
  <c r="AL278" i="1" s="1"/>
  <c r="AM278" i="1"/>
  <c r="AN278" i="1" s="1"/>
  <c r="AP278" i="1" l="1"/>
  <c r="AO278" i="1"/>
  <c r="B279" i="1"/>
  <c r="AF279" i="1" l="1"/>
  <c r="C279" i="1"/>
  <c r="D279" i="1" s="1"/>
  <c r="E279" i="1" s="1"/>
  <c r="H279" i="1" s="1"/>
  <c r="AG279" i="1"/>
  <c r="AH279" i="1" s="1"/>
  <c r="F279" i="1" l="1"/>
  <c r="G279" i="1" s="1"/>
  <c r="M279" i="1"/>
  <c r="L279" i="1" s="1"/>
  <c r="J280" i="1" s="1"/>
  <c r="K280" i="1" s="1"/>
  <c r="AQ280" i="1" s="1"/>
  <c r="I279" i="1"/>
  <c r="AK279" i="1"/>
  <c r="AL279" i="1" s="1"/>
  <c r="AM279" i="1"/>
  <c r="AN279" i="1" s="1"/>
  <c r="AI279" i="1"/>
  <c r="AJ279" i="1" s="1"/>
  <c r="AP279" i="1" l="1"/>
  <c r="AO279" i="1"/>
  <c r="B280" i="1"/>
  <c r="AF280" i="1" l="1"/>
  <c r="AG280" i="1"/>
  <c r="AH280" i="1" s="1"/>
  <c r="C280" i="1"/>
  <c r="D280" i="1" s="1"/>
  <c r="E280" i="1" s="1"/>
  <c r="H280" i="1" s="1"/>
  <c r="F280" i="1" l="1"/>
  <c r="G280" i="1" s="1"/>
  <c r="AI280" i="1"/>
  <c r="AJ280" i="1" s="1"/>
  <c r="AK280" i="1"/>
  <c r="AL280" i="1" s="1"/>
  <c r="AM280" i="1"/>
  <c r="AN280" i="1" s="1"/>
  <c r="M280" i="1"/>
  <c r="L280" i="1" s="1"/>
  <c r="J281" i="1" s="1"/>
  <c r="K281" i="1" s="1"/>
  <c r="AQ281" i="1" s="1"/>
  <c r="I280" i="1"/>
  <c r="AO280" i="1" l="1"/>
  <c r="B281" i="1"/>
  <c r="AP280" i="1"/>
  <c r="AG281" i="1" l="1"/>
  <c r="AH281" i="1" s="1"/>
  <c r="C281" i="1"/>
  <c r="D281" i="1" s="1"/>
  <c r="E281" i="1" s="1"/>
  <c r="H281" i="1" s="1"/>
  <c r="AF281" i="1"/>
  <c r="M281" i="1" l="1"/>
  <c r="L281" i="1" s="1"/>
  <c r="J282" i="1" s="1"/>
  <c r="K282" i="1" s="1"/>
  <c r="AQ282" i="1" s="1"/>
  <c r="I281" i="1"/>
  <c r="F281" i="1"/>
  <c r="G281" i="1" s="1"/>
  <c r="AI281" i="1"/>
  <c r="AJ281" i="1" s="1"/>
  <c r="AM281" i="1"/>
  <c r="AN281" i="1" s="1"/>
  <c r="AK281" i="1"/>
  <c r="AL281" i="1" s="1"/>
  <c r="AP281" i="1" l="1"/>
  <c r="AO281" i="1"/>
  <c r="B282" i="1"/>
  <c r="C282" i="1" l="1"/>
  <c r="D282" i="1" s="1"/>
  <c r="E282" i="1" s="1"/>
  <c r="H282" i="1" s="1"/>
  <c r="AF282" i="1"/>
  <c r="AG282" i="1"/>
  <c r="AH282" i="1" s="1"/>
  <c r="F282" i="1" l="1"/>
  <c r="G282" i="1" s="1"/>
  <c r="AM282" i="1"/>
  <c r="AN282" i="1" s="1"/>
  <c r="AI282" i="1"/>
  <c r="AJ282" i="1" s="1"/>
  <c r="AK282" i="1"/>
  <c r="AL282" i="1" s="1"/>
  <c r="M282" i="1"/>
  <c r="L282" i="1" s="1"/>
  <c r="J283" i="1" s="1"/>
  <c r="K283" i="1" s="1"/>
  <c r="AQ283" i="1" s="1"/>
  <c r="I282" i="1"/>
  <c r="AP282" i="1" l="1"/>
  <c r="AO282" i="1"/>
  <c r="B283" i="1"/>
  <c r="AF283" i="1" l="1"/>
  <c r="AG283" i="1"/>
  <c r="AH283" i="1" s="1"/>
  <c r="C283" i="1"/>
  <c r="D283" i="1" s="1"/>
  <c r="E283" i="1" s="1"/>
  <c r="H283" i="1" s="1"/>
  <c r="M283" i="1" l="1"/>
  <c r="L283" i="1" s="1"/>
  <c r="J284" i="1" s="1"/>
  <c r="K284" i="1" s="1"/>
  <c r="AQ284" i="1" s="1"/>
  <c r="I283" i="1"/>
  <c r="AK283" i="1"/>
  <c r="AL283" i="1" s="1"/>
  <c r="AI283" i="1"/>
  <c r="AJ283" i="1" s="1"/>
  <c r="AM283" i="1"/>
  <c r="AN283" i="1" s="1"/>
  <c r="F283" i="1"/>
  <c r="G283" i="1" s="1"/>
  <c r="AP283" i="1" l="1"/>
  <c r="AO283" i="1"/>
  <c r="B284" i="1"/>
  <c r="AF284" i="1" l="1"/>
  <c r="AG284" i="1"/>
  <c r="AH284" i="1" s="1"/>
  <c r="C284" i="1"/>
  <c r="D284" i="1" s="1"/>
  <c r="E284" i="1" s="1"/>
  <c r="H284" i="1" s="1"/>
  <c r="F284" i="1" l="1"/>
  <c r="G284" i="1" s="1"/>
  <c r="AK284" i="1"/>
  <c r="AL284" i="1" s="1"/>
  <c r="AI284" i="1"/>
  <c r="AJ284" i="1" s="1"/>
  <c r="AM284" i="1"/>
  <c r="AN284" i="1" s="1"/>
  <c r="M284" i="1"/>
  <c r="L284" i="1" s="1"/>
  <c r="J285" i="1" s="1"/>
  <c r="K285" i="1" s="1"/>
  <c r="AQ285" i="1" s="1"/>
  <c r="I284" i="1"/>
  <c r="AP284" i="1" l="1"/>
  <c r="AO284" i="1"/>
  <c r="B285" i="1"/>
  <c r="AF285" i="1" l="1"/>
  <c r="AG285" i="1"/>
  <c r="AH285" i="1" s="1"/>
  <c r="C285" i="1"/>
  <c r="D285" i="1" s="1"/>
  <c r="E285" i="1" s="1"/>
  <c r="H285" i="1" s="1"/>
  <c r="F285" i="1" l="1"/>
  <c r="G285" i="1" s="1"/>
  <c r="AI285" i="1"/>
  <c r="AJ285" i="1" s="1"/>
  <c r="AK285" i="1"/>
  <c r="AL285" i="1" s="1"/>
  <c r="AM285" i="1"/>
  <c r="AN285" i="1" s="1"/>
  <c r="M285" i="1"/>
  <c r="L285" i="1" s="1"/>
  <c r="J286" i="1" s="1"/>
  <c r="K286" i="1" s="1"/>
  <c r="AQ286" i="1" s="1"/>
  <c r="I285" i="1"/>
  <c r="AO285" i="1" l="1"/>
  <c r="B286" i="1"/>
  <c r="AP285" i="1"/>
  <c r="AF286" i="1" l="1"/>
  <c r="C286" i="1"/>
  <c r="D286" i="1" s="1"/>
  <c r="E286" i="1" s="1"/>
  <c r="H286" i="1" s="1"/>
  <c r="AG286" i="1"/>
  <c r="AH286" i="1" s="1"/>
  <c r="M286" i="1" l="1"/>
  <c r="L286" i="1" s="1"/>
  <c r="J287" i="1" s="1"/>
  <c r="K287" i="1" s="1"/>
  <c r="AQ287" i="1" s="1"/>
  <c r="I286" i="1"/>
  <c r="F286" i="1"/>
  <c r="G286" i="1" s="1"/>
  <c r="AM286" i="1"/>
  <c r="AN286" i="1" s="1"/>
  <c r="AI286" i="1"/>
  <c r="AJ286" i="1" s="1"/>
  <c r="AK286" i="1"/>
  <c r="AL286" i="1" s="1"/>
  <c r="AO286" i="1" l="1"/>
  <c r="B287" i="1"/>
  <c r="AP286" i="1"/>
  <c r="AF287" i="1" l="1"/>
  <c r="AG287" i="1"/>
  <c r="AH287" i="1" s="1"/>
  <c r="C287" i="1"/>
  <c r="D287" i="1" s="1"/>
  <c r="E287" i="1" s="1"/>
  <c r="H287" i="1" s="1"/>
  <c r="F287" i="1" l="1"/>
  <c r="G287" i="1" s="1"/>
  <c r="AM287" i="1"/>
  <c r="AN287" i="1" s="1"/>
  <c r="AK287" i="1"/>
  <c r="AL287" i="1" s="1"/>
  <c r="AI287" i="1"/>
  <c r="AJ287" i="1" s="1"/>
  <c r="M287" i="1"/>
  <c r="L287" i="1" s="1"/>
  <c r="J288" i="1" s="1"/>
  <c r="K288" i="1" s="1"/>
  <c r="AQ288" i="1" s="1"/>
  <c r="I287" i="1"/>
  <c r="AP287" i="1" l="1"/>
  <c r="B288" i="1"/>
  <c r="AO287" i="1"/>
  <c r="C288" i="1" l="1"/>
  <c r="D288" i="1" s="1"/>
  <c r="E288" i="1" s="1"/>
  <c r="H288" i="1" s="1"/>
  <c r="AG288" i="1"/>
  <c r="AH288" i="1" s="1"/>
  <c r="AF288" i="1"/>
  <c r="F288" i="1" l="1"/>
  <c r="G288" i="1" s="1"/>
  <c r="AM288" i="1"/>
  <c r="AN288" i="1" s="1"/>
  <c r="AK288" i="1"/>
  <c r="AL288" i="1" s="1"/>
  <c r="AI288" i="1"/>
  <c r="AJ288" i="1" s="1"/>
  <c r="M288" i="1"/>
  <c r="L288" i="1" s="1"/>
  <c r="J289" i="1" s="1"/>
  <c r="K289" i="1" s="1"/>
  <c r="AQ289" i="1" s="1"/>
  <c r="I288" i="1"/>
  <c r="AO288" i="1" l="1"/>
  <c r="B289" i="1"/>
  <c r="AP288" i="1"/>
  <c r="AG289" i="1" l="1"/>
  <c r="AH289" i="1" s="1"/>
  <c r="C289" i="1"/>
  <c r="D289" i="1" s="1"/>
  <c r="E289" i="1" s="1"/>
  <c r="H289" i="1" s="1"/>
  <c r="AF289" i="1"/>
  <c r="F289" i="1" l="1"/>
  <c r="G289" i="1" s="1"/>
  <c r="M289" i="1"/>
  <c r="L289" i="1" s="1"/>
  <c r="J290" i="1" s="1"/>
  <c r="K290" i="1" s="1"/>
  <c r="AQ290" i="1" s="1"/>
  <c r="I289" i="1"/>
  <c r="AM289" i="1"/>
  <c r="AN289" i="1" s="1"/>
  <c r="AI289" i="1"/>
  <c r="AJ289" i="1" s="1"/>
  <c r="AK289" i="1"/>
  <c r="AL289" i="1" s="1"/>
  <c r="AP289" i="1" l="1"/>
  <c r="AO289" i="1"/>
  <c r="B290" i="1"/>
  <c r="AF290" i="1" l="1"/>
  <c r="C290" i="1"/>
  <c r="D290" i="1" s="1"/>
  <c r="E290" i="1" s="1"/>
  <c r="H290" i="1" s="1"/>
  <c r="AG290" i="1"/>
  <c r="AH290" i="1" s="1"/>
  <c r="AM290" i="1" l="1"/>
  <c r="AN290" i="1" s="1"/>
  <c r="AK290" i="1"/>
  <c r="AL290" i="1" s="1"/>
  <c r="AI290" i="1"/>
  <c r="AJ290" i="1" s="1"/>
  <c r="M290" i="1"/>
  <c r="L290" i="1" s="1"/>
  <c r="J291" i="1" s="1"/>
  <c r="K291" i="1" s="1"/>
  <c r="AQ291" i="1" s="1"/>
  <c r="I290" i="1"/>
  <c r="F290" i="1"/>
  <c r="G290" i="1" s="1"/>
  <c r="AP290" i="1" l="1"/>
  <c r="AO290" i="1"/>
  <c r="B291" i="1"/>
  <c r="AF291" i="1" l="1"/>
  <c r="AG291" i="1"/>
  <c r="AH291" i="1" s="1"/>
  <c r="C291" i="1"/>
  <c r="D291" i="1" s="1"/>
  <c r="E291" i="1" s="1"/>
  <c r="H291" i="1" s="1"/>
  <c r="M291" i="1" l="1"/>
  <c r="L291" i="1" s="1"/>
  <c r="J292" i="1" s="1"/>
  <c r="K292" i="1" s="1"/>
  <c r="AQ292" i="1" s="1"/>
  <c r="I291" i="1"/>
  <c r="AM291" i="1"/>
  <c r="AN291" i="1" s="1"/>
  <c r="AK291" i="1"/>
  <c r="AL291" i="1" s="1"/>
  <c r="AI291" i="1"/>
  <c r="AJ291" i="1" s="1"/>
  <c r="F291" i="1"/>
  <c r="G291" i="1" s="1"/>
  <c r="AP291" i="1" l="1"/>
  <c r="AO291" i="1"/>
  <c r="B292" i="1"/>
  <c r="AG292" i="1" l="1"/>
  <c r="AH292" i="1" s="1"/>
  <c r="AF292" i="1"/>
  <c r="C292" i="1"/>
  <c r="D292" i="1" s="1"/>
  <c r="E292" i="1" s="1"/>
  <c r="H292" i="1" s="1"/>
  <c r="M292" i="1" l="1"/>
  <c r="L292" i="1" s="1"/>
  <c r="J293" i="1" s="1"/>
  <c r="K293" i="1" s="1"/>
  <c r="AQ293" i="1" s="1"/>
  <c r="I292" i="1"/>
  <c r="F292" i="1"/>
  <c r="G292" i="1" s="1"/>
  <c r="AM292" i="1"/>
  <c r="AN292" i="1" s="1"/>
  <c r="AK292" i="1"/>
  <c r="AL292" i="1" s="1"/>
  <c r="AI292" i="1"/>
  <c r="AJ292" i="1" s="1"/>
  <c r="AP292" i="1" l="1"/>
  <c r="B293" i="1"/>
  <c r="AO292" i="1"/>
  <c r="AF293" i="1" l="1"/>
  <c r="C293" i="1"/>
  <c r="D293" i="1" s="1"/>
  <c r="E293" i="1" s="1"/>
  <c r="H293" i="1" s="1"/>
  <c r="AG293" i="1"/>
  <c r="AH293" i="1" s="1"/>
  <c r="F293" i="1" l="1"/>
  <c r="AI293" i="1"/>
  <c r="AJ293" i="1" s="1"/>
  <c r="AK293" i="1"/>
  <c r="AL293" i="1" s="1"/>
  <c r="AM293" i="1"/>
  <c r="AN293" i="1" s="1"/>
  <c r="M293" i="1"/>
  <c r="L293" i="1" s="1"/>
  <c r="J294" i="1" s="1"/>
  <c r="K294" i="1" s="1"/>
  <c r="AQ294" i="1" s="1"/>
  <c r="I293" i="1"/>
  <c r="G293" i="1"/>
  <c r="AO293" i="1" l="1"/>
  <c r="B294" i="1"/>
  <c r="AP293" i="1"/>
  <c r="AG294" i="1" l="1"/>
  <c r="AH294" i="1" s="1"/>
  <c r="AF294" i="1"/>
  <c r="C294" i="1"/>
  <c r="D294" i="1" s="1"/>
  <c r="E294" i="1" s="1"/>
  <c r="H294" i="1" s="1"/>
  <c r="F294" i="1" l="1"/>
  <c r="G294" i="1" s="1"/>
  <c r="M294" i="1"/>
  <c r="L294" i="1" s="1"/>
  <c r="J295" i="1" s="1"/>
  <c r="K295" i="1" s="1"/>
  <c r="AQ295" i="1" s="1"/>
  <c r="I294" i="1"/>
  <c r="AM294" i="1"/>
  <c r="AN294" i="1" s="1"/>
  <c r="AK294" i="1"/>
  <c r="AL294" i="1" s="1"/>
  <c r="AI294" i="1"/>
  <c r="AJ294" i="1" s="1"/>
  <c r="AP294" i="1" l="1"/>
  <c r="AO294" i="1"/>
  <c r="B295" i="1"/>
  <c r="AF295" i="1" l="1"/>
  <c r="AG295" i="1"/>
  <c r="AH295" i="1" s="1"/>
  <c r="C295" i="1"/>
  <c r="D295" i="1" s="1"/>
  <c r="E295" i="1" s="1"/>
  <c r="H295" i="1" s="1"/>
  <c r="M295" i="1" l="1"/>
  <c r="L295" i="1" s="1"/>
  <c r="J296" i="1" s="1"/>
  <c r="K296" i="1" s="1"/>
  <c r="AQ296" i="1" s="1"/>
  <c r="I295" i="1"/>
  <c r="F295" i="1"/>
  <c r="G295" i="1" s="1"/>
  <c r="AK295" i="1"/>
  <c r="AL295" i="1" s="1"/>
  <c r="AI295" i="1"/>
  <c r="AJ295" i="1" s="1"/>
  <c r="AM295" i="1"/>
  <c r="AN295" i="1" s="1"/>
  <c r="AO295" i="1" l="1"/>
  <c r="B296" i="1"/>
  <c r="AP295" i="1"/>
  <c r="C296" i="1" l="1"/>
  <c r="D296" i="1" s="1"/>
  <c r="E296" i="1" s="1"/>
  <c r="H296" i="1" s="1"/>
  <c r="AG296" i="1"/>
  <c r="AH296" i="1" s="1"/>
  <c r="AF296" i="1"/>
  <c r="F296" i="1" l="1"/>
  <c r="G296" i="1" s="1"/>
  <c r="AM296" i="1"/>
  <c r="AN296" i="1" s="1"/>
  <c r="AK296" i="1"/>
  <c r="AL296" i="1" s="1"/>
  <c r="AI296" i="1"/>
  <c r="AJ296" i="1" s="1"/>
  <c r="M296" i="1"/>
  <c r="L296" i="1" s="1"/>
  <c r="J297" i="1" s="1"/>
  <c r="K297" i="1" s="1"/>
  <c r="AQ297" i="1" s="1"/>
  <c r="I296" i="1"/>
  <c r="AP296" i="1" l="1"/>
  <c r="AO296" i="1"/>
  <c r="B297" i="1"/>
  <c r="AF297" i="1" l="1"/>
  <c r="AG297" i="1"/>
  <c r="AH297" i="1" s="1"/>
  <c r="C297" i="1"/>
  <c r="D297" i="1" s="1"/>
  <c r="E297" i="1" s="1"/>
  <c r="H297" i="1" s="1"/>
  <c r="M297" i="1" l="1"/>
  <c r="L297" i="1" s="1"/>
  <c r="J298" i="1" s="1"/>
  <c r="K298" i="1" s="1"/>
  <c r="AQ298" i="1" s="1"/>
  <c r="I297" i="1"/>
  <c r="AM297" i="1"/>
  <c r="AN297" i="1" s="1"/>
  <c r="AK297" i="1"/>
  <c r="AL297" i="1" s="1"/>
  <c r="AI297" i="1"/>
  <c r="AJ297" i="1" s="1"/>
  <c r="F297" i="1"/>
  <c r="G297" i="1" s="1"/>
  <c r="AP297" i="1" l="1"/>
  <c r="AO297" i="1"/>
  <c r="B298" i="1"/>
  <c r="AF298" i="1" l="1"/>
  <c r="AG298" i="1"/>
  <c r="AH298" i="1" s="1"/>
  <c r="C298" i="1"/>
  <c r="D298" i="1" s="1"/>
  <c r="E298" i="1" s="1"/>
  <c r="H298" i="1" s="1"/>
  <c r="F298" i="1" l="1"/>
  <c r="G298" i="1" s="1"/>
  <c r="AI298" i="1"/>
  <c r="AJ298" i="1" s="1"/>
  <c r="AK298" i="1"/>
  <c r="AL298" i="1" s="1"/>
  <c r="AM298" i="1"/>
  <c r="AN298" i="1" s="1"/>
  <c r="M298" i="1"/>
  <c r="L298" i="1" s="1"/>
  <c r="J299" i="1" s="1"/>
  <c r="K299" i="1" s="1"/>
  <c r="AQ299" i="1" s="1"/>
  <c r="I298" i="1"/>
  <c r="AP298" i="1" l="1"/>
  <c r="AO298" i="1"/>
  <c r="B299" i="1"/>
  <c r="AG299" i="1" l="1"/>
  <c r="AH299" i="1" s="1"/>
  <c r="C299" i="1"/>
  <c r="D299" i="1" s="1"/>
  <c r="E299" i="1" s="1"/>
  <c r="H299" i="1" s="1"/>
  <c r="AF299" i="1"/>
  <c r="F299" i="1" l="1"/>
  <c r="G299" i="1" s="1"/>
  <c r="M299" i="1"/>
  <c r="L299" i="1" s="1"/>
  <c r="J300" i="1" s="1"/>
  <c r="K300" i="1" s="1"/>
  <c r="AQ300" i="1" s="1"/>
  <c r="I299" i="1"/>
  <c r="AI299" i="1"/>
  <c r="AJ299" i="1" s="1"/>
  <c r="AM299" i="1"/>
  <c r="AN299" i="1" s="1"/>
  <c r="AK299" i="1"/>
  <c r="AL299" i="1" s="1"/>
  <c r="AP299" i="1" l="1"/>
  <c r="AO299" i="1"/>
  <c r="B300" i="1"/>
  <c r="AF300" i="1" l="1"/>
  <c r="C300" i="1"/>
  <c r="D300" i="1" s="1"/>
  <c r="E300" i="1" s="1"/>
  <c r="H300" i="1" s="1"/>
  <c r="AG300" i="1"/>
  <c r="AH300" i="1" s="1"/>
  <c r="M300" i="1" l="1"/>
  <c r="L300" i="1" s="1"/>
  <c r="J301" i="1" s="1"/>
  <c r="K301" i="1" s="1"/>
  <c r="AQ301" i="1" s="1"/>
  <c r="I300" i="1"/>
  <c r="F300" i="1"/>
  <c r="G300" i="1" s="1"/>
  <c r="AI300" i="1"/>
  <c r="AJ300" i="1" s="1"/>
  <c r="AK300" i="1"/>
  <c r="AL300" i="1" s="1"/>
  <c r="AM300" i="1"/>
  <c r="AN300" i="1" s="1"/>
  <c r="AP300" i="1" l="1"/>
  <c r="AO300" i="1"/>
  <c r="B301" i="1"/>
  <c r="AF301" i="1" l="1"/>
  <c r="C301" i="1"/>
  <c r="D301" i="1" s="1"/>
  <c r="E301" i="1" s="1"/>
  <c r="H301" i="1" s="1"/>
  <c r="AG301" i="1"/>
  <c r="AH301" i="1" s="1"/>
  <c r="F301" i="1" l="1"/>
  <c r="G301" i="1" s="1"/>
  <c r="M301" i="1"/>
  <c r="L301" i="1" s="1"/>
  <c r="J302" i="1" s="1"/>
  <c r="K302" i="1" s="1"/>
  <c r="AQ302" i="1" s="1"/>
  <c r="I301" i="1"/>
  <c r="AK301" i="1"/>
  <c r="AL301" i="1" s="1"/>
  <c r="AM301" i="1"/>
  <c r="AN301" i="1" s="1"/>
  <c r="AI301" i="1"/>
  <c r="AJ301" i="1" s="1"/>
  <c r="AP301" i="1" l="1"/>
  <c r="AO301" i="1"/>
  <c r="B302" i="1"/>
  <c r="C302" i="1" l="1"/>
  <c r="D302" i="1" s="1"/>
  <c r="E302" i="1" s="1"/>
  <c r="H302" i="1" s="1"/>
  <c r="AG302" i="1"/>
  <c r="AH302" i="1" s="1"/>
  <c r="AF302" i="1"/>
  <c r="F302" i="1" l="1"/>
  <c r="G302" i="1" s="1"/>
  <c r="AM302" i="1"/>
  <c r="AN302" i="1" s="1"/>
  <c r="AI302" i="1"/>
  <c r="AJ302" i="1" s="1"/>
  <c r="AK302" i="1"/>
  <c r="AL302" i="1" s="1"/>
  <c r="M302" i="1"/>
  <c r="L302" i="1" s="1"/>
  <c r="J303" i="1" s="1"/>
  <c r="K303" i="1" s="1"/>
  <c r="AQ303" i="1" s="1"/>
  <c r="I302" i="1"/>
  <c r="AO302" i="1" l="1"/>
  <c r="B303" i="1"/>
  <c r="AP302" i="1"/>
  <c r="C303" i="1" l="1"/>
  <c r="D303" i="1" s="1"/>
  <c r="E303" i="1" s="1"/>
  <c r="H303" i="1" s="1"/>
  <c r="AG303" i="1"/>
  <c r="AH303" i="1" s="1"/>
  <c r="AF303" i="1"/>
  <c r="F303" i="1" l="1"/>
  <c r="G303" i="1" s="1"/>
  <c r="AM303" i="1"/>
  <c r="AN303" i="1" s="1"/>
  <c r="AI303" i="1"/>
  <c r="AJ303" i="1" s="1"/>
  <c r="AK303" i="1"/>
  <c r="AL303" i="1" s="1"/>
  <c r="M303" i="1"/>
  <c r="L303" i="1" s="1"/>
  <c r="J304" i="1" s="1"/>
  <c r="K304" i="1" s="1"/>
  <c r="AQ304" i="1" s="1"/>
  <c r="I303" i="1"/>
  <c r="AP303" i="1" l="1"/>
  <c r="AO303" i="1"/>
  <c r="B304" i="1"/>
  <c r="AF304" i="1" l="1"/>
  <c r="C304" i="1"/>
  <c r="D304" i="1" s="1"/>
  <c r="E304" i="1" s="1"/>
  <c r="H304" i="1" s="1"/>
  <c r="AG304" i="1"/>
  <c r="AH304" i="1" s="1"/>
  <c r="F304" i="1" l="1"/>
  <c r="G304" i="1" s="1"/>
  <c r="M304" i="1"/>
  <c r="L304" i="1" s="1"/>
  <c r="J305" i="1" s="1"/>
  <c r="K305" i="1" s="1"/>
  <c r="AQ305" i="1" s="1"/>
  <c r="I304" i="1"/>
  <c r="AM304" i="1"/>
  <c r="AN304" i="1" s="1"/>
  <c r="AK304" i="1"/>
  <c r="AL304" i="1" s="1"/>
  <c r="AI304" i="1"/>
  <c r="AJ304" i="1" s="1"/>
  <c r="AO304" i="1" l="1"/>
  <c r="B305" i="1"/>
  <c r="AP304" i="1"/>
  <c r="AG305" i="1" l="1"/>
  <c r="AH305" i="1" s="1"/>
  <c r="C305" i="1"/>
  <c r="D305" i="1" s="1"/>
  <c r="E305" i="1" s="1"/>
  <c r="H305" i="1" s="1"/>
  <c r="AF305" i="1"/>
  <c r="F305" i="1" l="1"/>
  <c r="G305" i="1" s="1"/>
  <c r="M305" i="1"/>
  <c r="L305" i="1" s="1"/>
  <c r="J306" i="1" s="1"/>
  <c r="K306" i="1" s="1"/>
  <c r="AQ306" i="1" s="1"/>
  <c r="I305" i="1"/>
  <c r="AM305" i="1"/>
  <c r="AN305" i="1" s="1"/>
  <c r="AK305" i="1"/>
  <c r="AL305" i="1" s="1"/>
  <c r="AI305" i="1"/>
  <c r="AJ305" i="1" s="1"/>
  <c r="AP305" i="1" l="1"/>
  <c r="B306" i="1"/>
  <c r="AO305" i="1"/>
  <c r="AF306" i="1" l="1"/>
  <c r="C306" i="1"/>
  <c r="D306" i="1" s="1"/>
  <c r="E306" i="1" s="1"/>
  <c r="H306" i="1" s="1"/>
  <c r="AG306" i="1"/>
  <c r="AH306" i="1" s="1"/>
  <c r="F306" i="1" l="1"/>
  <c r="G306" i="1" s="1"/>
  <c r="M306" i="1"/>
  <c r="L306" i="1" s="1"/>
  <c r="J307" i="1" s="1"/>
  <c r="K307" i="1" s="1"/>
  <c r="AQ307" i="1" s="1"/>
  <c r="I306" i="1"/>
  <c r="AI306" i="1"/>
  <c r="AJ306" i="1" s="1"/>
  <c r="AK306" i="1"/>
  <c r="AL306" i="1" s="1"/>
  <c r="AM306" i="1"/>
  <c r="AN306" i="1" s="1"/>
  <c r="AP306" i="1" l="1"/>
  <c r="AO306" i="1"/>
  <c r="B307" i="1"/>
  <c r="C307" i="1" l="1"/>
  <c r="D307" i="1" s="1"/>
  <c r="E307" i="1" s="1"/>
  <c r="H307" i="1" s="1"/>
  <c r="AF307" i="1"/>
  <c r="AG307" i="1"/>
  <c r="AH307" i="1" s="1"/>
  <c r="F307" i="1" l="1"/>
  <c r="G307" i="1" s="1"/>
  <c r="AM307" i="1"/>
  <c r="AN307" i="1" s="1"/>
  <c r="AI307" i="1"/>
  <c r="AJ307" i="1" s="1"/>
  <c r="AK307" i="1"/>
  <c r="AL307" i="1" s="1"/>
  <c r="M307" i="1"/>
  <c r="L307" i="1" s="1"/>
  <c r="J308" i="1" s="1"/>
  <c r="K308" i="1" s="1"/>
  <c r="AQ308" i="1" s="1"/>
  <c r="I307" i="1"/>
  <c r="AP307" i="1" l="1"/>
  <c r="AO307" i="1"/>
  <c r="B308" i="1"/>
  <c r="C308" i="1" l="1"/>
  <c r="D308" i="1" s="1"/>
  <c r="E308" i="1" s="1"/>
  <c r="AF308" i="1"/>
  <c r="AG308" i="1"/>
  <c r="AH308" i="1" s="1"/>
  <c r="AK308" i="1" l="1"/>
  <c r="AL308" i="1" s="1"/>
  <c r="AM308" i="1"/>
  <c r="AN308" i="1" s="1"/>
  <c r="AI308" i="1"/>
  <c r="AJ308" i="1" s="1"/>
  <c r="H308" i="1"/>
  <c r="F308" i="1"/>
  <c r="M308" i="1" l="1"/>
  <c r="L308" i="1" s="1"/>
  <c r="J309" i="1" s="1"/>
  <c r="K309" i="1" s="1"/>
  <c r="AQ309" i="1" s="1"/>
  <c r="I308" i="1"/>
  <c r="G308" i="1"/>
  <c r="AP308" i="1"/>
  <c r="AO308" i="1" l="1"/>
  <c r="B309" i="1"/>
  <c r="AF309" i="1" l="1"/>
  <c r="AG309" i="1"/>
  <c r="AH309" i="1" s="1"/>
  <c r="C309" i="1"/>
  <c r="D309" i="1" s="1"/>
  <c r="E309" i="1" s="1"/>
  <c r="H309" i="1" s="1"/>
  <c r="F309" i="1" l="1"/>
  <c r="G309" i="1" s="1"/>
  <c r="AI309" i="1"/>
  <c r="AJ309" i="1" s="1"/>
  <c r="AM309" i="1"/>
  <c r="AN309" i="1" s="1"/>
  <c r="AK309" i="1"/>
  <c r="AL309" i="1" s="1"/>
  <c r="M309" i="1"/>
  <c r="L309" i="1" s="1"/>
  <c r="J310" i="1" s="1"/>
  <c r="K310" i="1" s="1"/>
  <c r="AQ310" i="1" s="1"/>
  <c r="I309" i="1"/>
  <c r="AO309" i="1" l="1"/>
  <c r="B310" i="1"/>
  <c r="AP309" i="1"/>
  <c r="AF310" i="1" l="1"/>
  <c r="C310" i="1"/>
  <c r="D310" i="1" s="1"/>
  <c r="E310" i="1" s="1"/>
  <c r="H310" i="1" s="1"/>
  <c r="AG310" i="1"/>
  <c r="AH310" i="1" s="1"/>
  <c r="M310" i="1" l="1"/>
  <c r="L310" i="1" s="1"/>
  <c r="J311" i="1" s="1"/>
  <c r="K311" i="1" s="1"/>
  <c r="AQ311" i="1" s="1"/>
  <c r="T32" i="2" s="1"/>
  <c r="I310" i="1"/>
  <c r="F310" i="1"/>
  <c r="G310" i="1" s="1"/>
  <c r="AM310" i="1"/>
  <c r="AN310" i="1" s="1"/>
  <c r="AK310" i="1"/>
  <c r="AL310" i="1" s="1"/>
  <c r="AI310" i="1"/>
  <c r="AJ310" i="1" s="1"/>
  <c r="AP310" i="1" l="1"/>
  <c r="AO310" i="1"/>
  <c r="B311" i="1"/>
  <c r="AG311" i="1" l="1"/>
  <c r="AH311" i="1" s="1"/>
  <c r="C311" i="1"/>
  <c r="D311" i="1" s="1"/>
  <c r="E311" i="1" s="1"/>
  <c r="H311" i="1" s="1"/>
  <c r="AF311" i="1"/>
  <c r="M311" i="1" l="1"/>
  <c r="L311" i="1" s="1"/>
  <c r="J312" i="1" s="1"/>
  <c r="K312" i="1" s="1"/>
  <c r="AQ312" i="1" s="1"/>
  <c r="I311" i="1"/>
  <c r="F311" i="1"/>
  <c r="G311" i="1" s="1"/>
  <c r="AI311" i="1"/>
  <c r="AJ311" i="1" s="1"/>
  <c r="AM311" i="1"/>
  <c r="AN311" i="1" s="1"/>
  <c r="AK311" i="1"/>
  <c r="AL311" i="1" s="1"/>
  <c r="AO311" i="1" l="1"/>
  <c r="B312" i="1"/>
  <c r="AP311" i="1"/>
  <c r="R32" i="2" s="1"/>
  <c r="C312" i="1" l="1"/>
  <c r="D312" i="1" s="1"/>
  <c r="E312" i="1" s="1"/>
  <c r="H312" i="1" s="1"/>
  <c r="AF312" i="1"/>
  <c r="AG312" i="1"/>
  <c r="AH312" i="1" s="1"/>
  <c r="F312" i="1" l="1"/>
  <c r="G312" i="1" s="1"/>
  <c r="AM312" i="1"/>
  <c r="AN312" i="1" s="1"/>
  <c r="AK312" i="1"/>
  <c r="AL312" i="1" s="1"/>
  <c r="AI312" i="1"/>
  <c r="AJ312" i="1" s="1"/>
  <c r="M312" i="1"/>
  <c r="L312" i="1" s="1"/>
  <c r="J313" i="1" s="1"/>
  <c r="K313" i="1" s="1"/>
  <c r="AQ313" i="1" s="1"/>
  <c r="I312" i="1"/>
  <c r="AP312" i="1" l="1"/>
  <c r="AO312" i="1"/>
  <c r="B313" i="1"/>
  <c r="AG313" i="1" l="1"/>
  <c r="AH313" i="1" s="1"/>
  <c r="C313" i="1"/>
  <c r="D313" i="1" s="1"/>
  <c r="E313" i="1" s="1"/>
  <c r="H313" i="1" s="1"/>
  <c r="AF313" i="1"/>
  <c r="M313" i="1" l="1"/>
  <c r="L313" i="1" s="1"/>
  <c r="J314" i="1" s="1"/>
  <c r="K314" i="1" s="1"/>
  <c r="AQ314" i="1" s="1"/>
  <c r="I313" i="1"/>
  <c r="F313" i="1"/>
  <c r="G313" i="1" s="1"/>
  <c r="AM313" i="1"/>
  <c r="AN313" i="1" s="1"/>
  <c r="AK313" i="1"/>
  <c r="AL313" i="1" s="1"/>
  <c r="AI313" i="1"/>
  <c r="AJ313" i="1" s="1"/>
  <c r="AP313" i="1" l="1"/>
  <c r="AO313" i="1"/>
  <c r="B314" i="1"/>
  <c r="AF314" i="1" l="1"/>
  <c r="AG314" i="1"/>
  <c r="AH314" i="1" s="1"/>
  <c r="C314" i="1"/>
  <c r="D314" i="1" s="1"/>
  <c r="E314" i="1" s="1"/>
  <c r="H314" i="1" s="1"/>
  <c r="F314" i="1" l="1"/>
  <c r="G314" i="1" s="1"/>
  <c r="AM314" i="1"/>
  <c r="AN314" i="1" s="1"/>
  <c r="AI314" i="1"/>
  <c r="AJ314" i="1" s="1"/>
  <c r="AK314" i="1"/>
  <c r="AL314" i="1" s="1"/>
  <c r="M314" i="1"/>
  <c r="L314" i="1" s="1"/>
  <c r="J315" i="1" s="1"/>
  <c r="K315" i="1" s="1"/>
  <c r="AQ315" i="1" s="1"/>
  <c r="I314" i="1"/>
  <c r="AP314" i="1" l="1"/>
  <c r="AO314" i="1"/>
  <c r="B315" i="1"/>
  <c r="C315" i="1" l="1"/>
  <c r="D315" i="1" s="1"/>
  <c r="E315" i="1" s="1"/>
  <c r="H315" i="1" s="1"/>
  <c r="AG315" i="1"/>
  <c r="AH315" i="1" s="1"/>
  <c r="AF315" i="1"/>
  <c r="F315" i="1" l="1"/>
  <c r="G315" i="1" s="1"/>
  <c r="AK315" i="1"/>
  <c r="AL315" i="1" s="1"/>
  <c r="AI315" i="1"/>
  <c r="AJ315" i="1" s="1"/>
  <c r="AM315" i="1"/>
  <c r="AN315" i="1" s="1"/>
  <c r="M315" i="1"/>
  <c r="L315" i="1" s="1"/>
  <c r="J316" i="1" s="1"/>
  <c r="K316" i="1" s="1"/>
  <c r="AQ316" i="1" s="1"/>
  <c r="I315" i="1"/>
  <c r="AP315" i="1" l="1"/>
  <c r="AO315" i="1"/>
  <c r="B316" i="1"/>
  <c r="AF316" i="1" l="1"/>
  <c r="AG316" i="1"/>
  <c r="AH316" i="1" s="1"/>
  <c r="C316" i="1"/>
  <c r="D316" i="1" s="1"/>
  <c r="E316" i="1" s="1"/>
  <c r="H316" i="1" s="1"/>
  <c r="F316" i="1" l="1"/>
  <c r="G316" i="1" s="1"/>
  <c r="AK316" i="1"/>
  <c r="AL316" i="1" s="1"/>
  <c r="AI316" i="1"/>
  <c r="AJ316" i="1" s="1"/>
  <c r="AM316" i="1"/>
  <c r="AN316" i="1" s="1"/>
  <c r="M316" i="1"/>
  <c r="L316" i="1" s="1"/>
  <c r="J317" i="1" s="1"/>
  <c r="K317" i="1" s="1"/>
  <c r="AQ317" i="1" s="1"/>
  <c r="I316" i="1"/>
  <c r="AP316" i="1" l="1"/>
  <c r="AO316" i="1"/>
  <c r="B317" i="1"/>
  <c r="AF317" i="1" l="1"/>
  <c r="AG317" i="1"/>
  <c r="AH317" i="1" s="1"/>
  <c r="C317" i="1"/>
  <c r="D317" i="1" s="1"/>
  <c r="E317" i="1" s="1"/>
  <c r="H317" i="1" s="1"/>
  <c r="M317" i="1" l="1"/>
  <c r="L317" i="1" s="1"/>
  <c r="J318" i="1" s="1"/>
  <c r="K318" i="1" s="1"/>
  <c r="AQ318" i="1" s="1"/>
  <c r="I317" i="1"/>
  <c r="F317" i="1"/>
  <c r="G317" i="1" s="1"/>
  <c r="AM317" i="1"/>
  <c r="AN317" i="1" s="1"/>
  <c r="AK317" i="1"/>
  <c r="AL317" i="1" s="1"/>
  <c r="AI317" i="1"/>
  <c r="AJ317" i="1" s="1"/>
  <c r="AP317" i="1" l="1"/>
  <c r="AO317" i="1"/>
  <c r="B318" i="1"/>
  <c r="AG318" i="1" l="1"/>
  <c r="AH318" i="1" s="1"/>
  <c r="C318" i="1"/>
  <c r="D318" i="1" s="1"/>
  <c r="E318" i="1" s="1"/>
  <c r="H318" i="1" s="1"/>
  <c r="AF318" i="1"/>
  <c r="M318" i="1" l="1"/>
  <c r="L318" i="1" s="1"/>
  <c r="J319" i="1" s="1"/>
  <c r="K319" i="1" s="1"/>
  <c r="AQ319" i="1" s="1"/>
  <c r="I318" i="1"/>
  <c r="F318" i="1"/>
  <c r="G318" i="1" s="1"/>
  <c r="AK318" i="1"/>
  <c r="AL318" i="1" s="1"/>
  <c r="AI318" i="1"/>
  <c r="AJ318" i="1" s="1"/>
  <c r="AM318" i="1"/>
  <c r="AN318" i="1" s="1"/>
  <c r="AP318" i="1" l="1"/>
  <c r="AO318" i="1"/>
  <c r="B319" i="1"/>
  <c r="AF319" i="1" l="1"/>
  <c r="C319" i="1"/>
  <c r="D319" i="1" s="1"/>
  <c r="E319" i="1" s="1"/>
  <c r="H319" i="1" s="1"/>
  <c r="AG319" i="1"/>
  <c r="AH319" i="1" s="1"/>
  <c r="F319" i="1" l="1"/>
  <c r="G319" i="1" s="1"/>
  <c r="M319" i="1"/>
  <c r="L319" i="1" s="1"/>
  <c r="J320" i="1" s="1"/>
  <c r="K320" i="1" s="1"/>
  <c r="AQ320" i="1" s="1"/>
  <c r="I319" i="1"/>
  <c r="AK319" i="1"/>
  <c r="AL319" i="1" s="1"/>
  <c r="AM319" i="1"/>
  <c r="AN319" i="1" s="1"/>
  <c r="AI319" i="1"/>
  <c r="AJ319" i="1" s="1"/>
  <c r="AP319" i="1" l="1"/>
  <c r="AO319" i="1"/>
  <c r="B320" i="1"/>
  <c r="C320" i="1" l="1"/>
  <c r="D320" i="1" s="1"/>
  <c r="E320" i="1" s="1"/>
  <c r="H320" i="1" s="1"/>
  <c r="AG320" i="1"/>
  <c r="AH320" i="1" s="1"/>
  <c r="AF320" i="1"/>
  <c r="F320" i="1" l="1"/>
  <c r="G320" i="1" s="1"/>
  <c r="AI320" i="1"/>
  <c r="AJ320" i="1" s="1"/>
  <c r="AM320" i="1"/>
  <c r="AN320" i="1" s="1"/>
  <c r="AK320" i="1"/>
  <c r="AL320" i="1" s="1"/>
  <c r="M320" i="1"/>
  <c r="L320" i="1" s="1"/>
  <c r="J321" i="1" s="1"/>
  <c r="K321" i="1" s="1"/>
  <c r="AQ321" i="1" s="1"/>
  <c r="I320" i="1"/>
  <c r="AO320" i="1" l="1"/>
  <c r="B321" i="1"/>
  <c r="AP320" i="1"/>
  <c r="AF321" i="1" l="1"/>
  <c r="C321" i="1"/>
  <c r="D321" i="1" s="1"/>
  <c r="E321" i="1" s="1"/>
  <c r="H321" i="1" s="1"/>
  <c r="AG321" i="1"/>
  <c r="AH321" i="1" s="1"/>
  <c r="F321" i="1" l="1"/>
  <c r="G321" i="1" s="1"/>
  <c r="M321" i="1"/>
  <c r="L321" i="1" s="1"/>
  <c r="J322" i="1" s="1"/>
  <c r="K322" i="1" s="1"/>
  <c r="AQ322" i="1" s="1"/>
  <c r="I321" i="1"/>
  <c r="AK321" i="1"/>
  <c r="AL321" i="1" s="1"/>
  <c r="AI321" i="1"/>
  <c r="AJ321" i="1" s="1"/>
  <c r="AM321" i="1"/>
  <c r="AN321" i="1" s="1"/>
  <c r="AO321" i="1" l="1"/>
  <c r="B322" i="1"/>
  <c r="AP321" i="1"/>
  <c r="AG322" i="1" l="1"/>
  <c r="AH322" i="1" s="1"/>
  <c r="C322" i="1"/>
  <c r="D322" i="1" s="1"/>
  <c r="E322" i="1" s="1"/>
  <c r="H322" i="1" s="1"/>
  <c r="AF322" i="1"/>
  <c r="M322" i="1" l="1"/>
  <c r="L322" i="1" s="1"/>
  <c r="J323" i="1" s="1"/>
  <c r="K323" i="1" s="1"/>
  <c r="AQ323" i="1" s="1"/>
  <c r="I322" i="1"/>
  <c r="F322" i="1"/>
  <c r="G322" i="1" s="1"/>
  <c r="AM322" i="1"/>
  <c r="AN322" i="1" s="1"/>
  <c r="AK322" i="1"/>
  <c r="AL322" i="1" s="1"/>
  <c r="AI322" i="1"/>
  <c r="AJ322" i="1" s="1"/>
  <c r="AP322" i="1" l="1"/>
  <c r="AO322" i="1"/>
  <c r="B323" i="1"/>
  <c r="AF323" i="1" l="1"/>
  <c r="AG323" i="1"/>
  <c r="AH323" i="1" s="1"/>
  <c r="C323" i="1"/>
  <c r="D323" i="1" s="1"/>
  <c r="E323" i="1" s="1"/>
  <c r="H323" i="1" s="1"/>
  <c r="M323" i="1" l="1"/>
  <c r="L323" i="1" s="1"/>
  <c r="J324" i="1" s="1"/>
  <c r="K324" i="1" s="1"/>
  <c r="AQ324" i="1" s="1"/>
  <c r="I323" i="1"/>
  <c r="F323" i="1"/>
  <c r="G323" i="1" s="1"/>
  <c r="AM323" i="1"/>
  <c r="AN323" i="1" s="1"/>
  <c r="AK323" i="1"/>
  <c r="AL323" i="1" s="1"/>
  <c r="AI323" i="1"/>
  <c r="AJ323" i="1" s="1"/>
  <c r="AP323" i="1" l="1"/>
  <c r="AO323" i="1"/>
  <c r="B324" i="1"/>
  <c r="AF324" i="1" l="1"/>
  <c r="AG324" i="1"/>
  <c r="AH324" i="1" s="1"/>
  <c r="C324" i="1"/>
  <c r="D324" i="1" s="1"/>
  <c r="E324" i="1" s="1"/>
  <c r="H324" i="1" s="1"/>
  <c r="F324" i="1" l="1"/>
  <c r="G324" i="1" s="1"/>
  <c r="M324" i="1"/>
  <c r="L324" i="1" s="1"/>
  <c r="J325" i="1" s="1"/>
  <c r="K325" i="1" s="1"/>
  <c r="AQ325" i="1" s="1"/>
  <c r="I324" i="1"/>
  <c r="AI324" i="1"/>
  <c r="AJ324" i="1" s="1"/>
  <c r="AK324" i="1"/>
  <c r="AL324" i="1" s="1"/>
  <c r="AM324" i="1"/>
  <c r="AN324" i="1" s="1"/>
  <c r="AP324" i="1" l="1"/>
  <c r="AO324" i="1"/>
  <c r="B325" i="1"/>
  <c r="AF325" i="1" l="1"/>
  <c r="C325" i="1"/>
  <c r="D325" i="1" s="1"/>
  <c r="E325" i="1" s="1"/>
  <c r="H325" i="1" s="1"/>
  <c r="AG325" i="1"/>
  <c r="AH325" i="1" s="1"/>
  <c r="AI325" i="1" l="1"/>
  <c r="AJ325" i="1" s="1"/>
  <c r="AM325" i="1"/>
  <c r="AN325" i="1" s="1"/>
  <c r="AK325" i="1"/>
  <c r="AL325" i="1" s="1"/>
  <c r="M325" i="1"/>
  <c r="L325" i="1" s="1"/>
  <c r="J326" i="1" s="1"/>
  <c r="K326" i="1" s="1"/>
  <c r="AQ326" i="1" s="1"/>
  <c r="I325" i="1"/>
  <c r="F325" i="1"/>
  <c r="G325" i="1" s="1"/>
  <c r="AO325" i="1" l="1"/>
  <c r="B326" i="1"/>
  <c r="AP325" i="1"/>
  <c r="AG326" i="1" l="1"/>
  <c r="AH326" i="1" s="1"/>
  <c r="C326" i="1"/>
  <c r="D326" i="1" s="1"/>
  <c r="E326" i="1" s="1"/>
  <c r="H326" i="1" s="1"/>
  <c r="AF326" i="1"/>
  <c r="F326" i="1" l="1"/>
  <c r="G326" i="1" s="1"/>
  <c r="M326" i="1"/>
  <c r="L326" i="1" s="1"/>
  <c r="J327" i="1" s="1"/>
  <c r="K327" i="1" s="1"/>
  <c r="AQ327" i="1" s="1"/>
  <c r="I326" i="1"/>
  <c r="AI326" i="1"/>
  <c r="AJ326" i="1" s="1"/>
  <c r="AM326" i="1"/>
  <c r="AN326" i="1" s="1"/>
  <c r="AK326" i="1"/>
  <c r="AL326" i="1" s="1"/>
  <c r="AP326" i="1" l="1"/>
  <c r="AO326" i="1"/>
  <c r="B327" i="1"/>
  <c r="AF327" i="1" l="1"/>
  <c r="AG327" i="1"/>
  <c r="AH327" i="1" s="1"/>
  <c r="C327" i="1"/>
  <c r="D327" i="1" s="1"/>
  <c r="E327" i="1" s="1"/>
  <c r="H327" i="1" s="1"/>
  <c r="M327" i="1" l="1"/>
  <c r="L327" i="1" s="1"/>
  <c r="J328" i="1" s="1"/>
  <c r="K328" i="1" s="1"/>
  <c r="AQ328" i="1" s="1"/>
  <c r="I327" i="1"/>
  <c r="F327" i="1"/>
  <c r="G327" i="1" s="1"/>
  <c r="AI327" i="1"/>
  <c r="AJ327" i="1" s="1"/>
  <c r="AK327" i="1"/>
  <c r="AL327" i="1" s="1"/>
  <c r="AM327" i="1"/>
  <c r="AN327" i="1" s="1"/>
  <c r="AO327" i="1" l="1"/>
  <c r="B328" i="1"/>
  <c r="AP327" i="1"/>
  <c r="AF328" i="1" l="1"/>
  <c r="C328" i="1"/>
  <c r="D328" i="1" s="1"/>
  <c r="E328" i="1" s="1"/>
  <c r="H328" i="1" s="1"/>
  <c r="AG328" i="1"/>
  <c r="AH328" i="1" s="1"/>
  <c r="F328" i="1" l="1"/>
  <c r="G328" i="1" s="1"/>
  <c r="M328" i="1"/>
  <c r="L328" i="1" s="1"/>
  <c r="J329" i="1" s="1"/>
  <c r="K329" i="1" s="1"/>
  <c r="AQ329" i="1" s="1"/>
  <c r="I328" i="1"/>
  <c r="AM328" i="1"/>
  <c r="AN328" i="1" s="1"/>
  <c r="AK328" i="1"/>
  <c r="AL328" i="1" s="1"/>
  <c r="AI328" i="1"/>
  <c r="AJ328" i="1" s="1"/>
  <c r="AP328" i="1" l="1"/>
  <c r="AO328" i="1"/>
  <c r="B329" i="1"/>
  <c r="C329" i="1" l="1"/>
  <c r="D329" i="1" s="1"/>
  <c r="E329" i="1" s="1"/>
  <c r="H329" i="1" s="1"/>
  <c r="AG329" i="1"/>
  <c r="AH329" i="1" s="1"/>
  <c r="AF329" i="1"/>
  <c r="F329" i="1" l="1"/>
  <c r="G329" i="1" s="1"/>
  <c r="AK329" i="1"/>
  <c r="AL329" i="1" s="1"/>
  <c r="AI329" i="1"/>
  <c r="AJ329" i="1" s="1"/>
  <c r="AM329" i="1"/>
  <c r="AN329" i="1" s="1"/>
  <c r="M329" i="1"/>
  <c r="L329" i="1" s="1"/>
  <c r="J330" i="1" s="1"/>
  <c r="K330" i="1" s="1"/>
  <c r="AQ330" i="1" s="1"/>
  <c r="I329" i="1"/>
  <c r="AO329" i="1" l="1"/>
  <c r="B330" i="1"/>
  <c r="AP329" i="1"/>
  <c r="AF330" i="1" l="1"/>
  <c r="C330" i="1"/>
  <c r="D330" i="1" s="1"/>
  <c r="E330" i="1" s="1"/>
  <c r="H330" i="1" s="1"/>
  <c r="AG330" i="1"/>
  <c r="AH330" i="1" s="1"/>
  <c r="AK330" i="1" l="1"/>
  <c r="AL330" i="1" s="1"/>
  <c r="AM330" i="1"/>
  <c r="AN330" i="1" s="1"/>
  <c r="AI330" i="1"/>
  <c r="AJ330" i="1" s="1"/>
  <c r="F330" i="1"/>
  <c r="G330" i="1" s="1"/>
  <c r="M330" i="1"/>
  <c r="L330" i="1" s="1"/>
  <c r="J331" i="1" s="1"/>
  <c r="K331" i="1" s="1"/>
  <c r="AQ331" i="1" s="1"/>
  <c r="I330" i="1"/>
  <c r="AP330" i="1" l="1"/>
  <c r="AO330" i="1"/>
  <c r="B331" i="1"/>
  <c r="C331" i="1" l="1"/>
  <c r="D331" i="1" s="1"/>
  <c r="E331" i="1" s="1"/>
  <c r="H331" i="1" s="1"/>
  <c r="AG331" i="1"/>
  <c r="AH331" i="1" s="1"/>
  <c r="AF331" i="1"/>
  <c r="F331" i="1" l="1"/>
  <c r="G331" i="1" s="1"/>
  <c r="AK331" i="1"/>
  <c r="AL331" i="1" s="1"/>
  <c r="AM331" i="1"/>
  <c r="AN331" i="1" s="1"/>
  <c r="AI331" i="1"/>
  <c r="AJ331" i="1" s="1"/>
  <c r="M331" i="1"/>
  <c r="L331" i="1" s="1"/>
  <c r="J332" i="1" s="1"/>
  <c r="K332" i="1" s="1"/>
  <c r="AQ332" i="1" s="1"/>
  <c r="I331" i="1"/>
  <c r="AP331" i="1" l="1"/>
  <c r="B332" i="1"/>
  <c r="AO331" i="1"/>
  <c r="C332" i="1" l="1"/>
  <c r="D332" i="1" s="1"/>
  <c r="E332" i="1" s="1"/>
  <c r="H332" i="1" s="1"/>
  <c r="AF332" i="1"/>
  <c r="AG332" i="1"/>
  <c r="AH332" i="1" s="1"/>
  <c r="AK332" i="1" l="1"/>
  <c r="AL332" i="1" s="1"/>
  <c r="AI332" i="1"/>
  <c r="AJ332" i="1" s="1"/>
  <c r="AM332" i="1"/>
  <c r="AN332" i="1" s="1"/>
  <c r="F332" i="1"/>
  <c r="G332" i="1" s="1"/>
  <c r="M332" i="1"/>
  <c r="L332" i="1" s="1"/>
  <c r="J333" i="1" s="1"/>
  <c r="K333" i="1" s="1"/>
  <c r="AQ333" i="1" s="1"/>
  <c r="I332" i="1"/>
  <c r="AP332" i="1" l="1"/>
  <c r="AO332" i="1"/>
  <c r="B333" i="1"/>
  <c r="AF333" i="1" l="1"/>
  <c r="AG333" i="1"/>
  <c r="AH333" i="1" s="1"/>
  <c r="C333" i="1"/>
  <c r="D333" i="1" s="1"/>
  <c r="E333" i="1" s="1"/>
  <c r="H333" i="1" s="1"/>
  <c r="F333" i="1" l="1"/>
  <c r="G333" i="1" s="1"/>
  <c r="AK333" i="1"/>
  <c r="AL333" i="1" s="1"/>
  <c r="AM333" i="1"/>
  <c r="AN333" i="1" s="1"/>
  <c r="AI333" i="1"/>
  <c r="AJ333" i="1" s="1"/>
  <c r="M333" i="1"/>
  <c r="L333" i="1" s="1"/>
  <c r="J334" i="1" s="1"/>
  <c r="K334" i="1" s="1"/>
  <c r="AQ334" i="1" s="1"/>
  <c r="I333" i="1"/>
  <c r="AP333" i="1" l="1"/>
  <c r="AO333" i="1"/>
  <c r="B334" i="1"/>
  <c r="AG334" i="1" l="1"/>
  <c r="AH334" i="1" s="1"/>
  <c r="C334" i="1"/>
  <c r="D334" i="1" s="1"/>
  <c r="E334" i="1" s="1"/>
  <c r="H334" i="1" s="1"/>
  <c r="AF334" i="1"/>
  <c r="F334" i="1" l="1"/>
  <c r="G334" i="1" s="1"/>
  <c r="M334" i="1"/>
  <c r="L334" i="1" s="1"/>
  <c r="J335" i="1" s="1"/>
  <c r="K335" i="1" s="1"/>
  <c r="AQ335" i="1" s="1"/>
  <c r="I334" i="1"/>
  <c r="AK334" i="1"/>
  <c r="AL334" i="1" s="1"/>
  <c r="AI334" i="1"/>
  <c r="AJ334" i="1" s="1"/>
  <c r="AM334" i="1"/>
  <c r="AN334" i="1" s="1"/>
  <c r="AP334" i="1" l="1"/>
  <c r="B335" i="1"/>
  <c r="AO334" i="1"/>
  <c r="AF335" i="1" l="1"/>
  <c r="C335" i="1"/>
  <c r="D335" i="1" s="1"/>
  <c r="E335" i="1" s="1"/>
  <c r="H335" i="1" s="1"/>
  <c r="AG335" i="1"/>
  <c r="AH335" i="1" s="1"/>
  <c r="F335" i="1" l="1"/>
  <c r="G335" i="1" s="1"/>
  <c r="AM335" i="1"/>
  <c r="AN335" i="1" s="1"/>
  <c r="AI335" i="1"/>
  <c r="AJ335" i="1" s="1"/>
  <c r="AK335" i="1"/>
  <c r="AL335" i="1" s="1"/>
  <c r="M335" i="1"/>
  <c r="L335" i="1" s="1"/>
  <c r="J336" i="1" s="1"/>
  <c r="K336" i="1" s="1"/>
  <c r="AQ336" i="1" s="1"/>
  <c r="I335" i="1"/>
  <c r="AO335" i="1" l="1"/>
  <c r="B336" i="1"/>
  <c r="AP335" i="1"/>
  <c r="AF336" i="1" l="1"/>
  <c r="C336" i="1"/>
  <c r="D336" i="1" s="1"/>
  <c r="E336" i="1" s="1"/>
  <c r="H336" i="1" s="1"/>
  <c r="AG336" i="1"/>
  <c r="AH336" i="1" s="1"/>
  <c r="F336" i="1" l="1"/>
  <c r="G336" i="1" s="1"/>
  <c r="AI336" i="1"/>
  <c r="AJ336" i="1" s="1"/>
  <c r="AM336" i="1"/>
  <c r="AN336" i="1" s="1"/>
  <c r="AK336" i="1"/>
  <c r="AL336" i="1" s="1"/>
  <c r="M336" i="1"/>
  <c r="L336" i="1" s="1"/>
  <c r="J337" i="1" s="1"/>
  <c r="K337" i="1" s="1"/>
  <c r="AQ337" i="1" s="1"/>
  <c r="I336" i="1"/>
  <c r="AO336" i="1" l="1"/>
  <c r="B337" i="1"/>
  <c r="AP336" i="1"/>
  <c r="AG337" i="1" l="1"/>
  <c r="AH337" i="1" s="1"/>
  <c r="AF337" i="1"/>
  <c r="C337" i="1"/>
  <c r="D337" i="1" s="1"/>
  <c r="E337" i="1" s="1"/>
  <c r="H337" i="1" s="1"/>
  <c r="M337" i="1" l="1"/>
  <c r="L337" i="1" s="1"/>
  <c r="J338" i="1" s="1"/>
  <c r="K338" i="1" s="1"/>
  <c r="AQ338" i="1" s="1"/>
  <c r="I337" i="1"/>
  <c r="F337" i="1"/>
  <c r="G337" i="1" s="1"/>
  <c r="AK337" i="1"/>
  <c r="AL337" i="1" s="1"/>
  <c r="AI337" i="1"/>
  <c r="AJ337" i="1" s="1"/>
  <c r="AM337" i="1"/>
  <c r="AN337" i="1" s="1"/>
  <c r="AP337" i="1" l="1"/>
  <c r="B338" i="1"/>
  <c r="AO337" i="1"/>
  <c r="AF338" i="1" l="1"/>
  <c r="AG338" i="1"/>
  <c r="AH338" i="1" s="1"/>
  <c r="C338" i="1"/>
  <c r="D338" i="1" s="1"/>
  <c r="E338" i="1" s="1"/>
  <c r="H338" i="1" s="1"/>
  <c r="F338" i="1" l="1"/>
  <c r="G338" i="1" s="1"/>
  <c r="AM338" i="1"/>
  <c r="AN338" i="1" s="1"/>
  <c r="AK338" i="1"/>
  <c r="AL338" i="1" s="1"/>
  <c r="AI338" i="1"/>
  <c r="AJ338" i="1" s="1"/>
  <c r="M338" i="1"/>
  <c r="L338" i="1" s="1"/>
  <c r="J339" i="1" s="1"/>
  <c r="K339" i="1" s="1"/>
  <c r="AQ339" i="1" s="1"/>
  <c r="I338" i="1"/>
  <c r="AP338" i="1" l="1"/>
  <c r="AO338" i="1"/>
  <c r="B339" i="1"/>
  <c r="AF339" i="1" l="1"/>
  <c r="C339" i="1"/>
  <c r="D339" i="1" s="1"/>
  <c r="E339" i="1" s="1"/>
  <c r="H339" i="1" s="1"/>
  <c r="AG339" i="1"/>
  <c r="AH339" i="1" s="1"/>
  <c r="F339" i="1" l="1"/>
  <c r="G339" i="1" s="1"/>
  <c r="AK339" i="1"/>
  <c r="AL339" i="1" s="1"/>
  <c r="AI339" i="1"/>
  <c r="AJ339" i="1" s="1"/>
  <c r="AM339" i="1"/>
  <c r="AN339" i="1" s="1"/>
  <c r="M339" i="1"/>
  <c r="L339" i="1" s="1"/>
  <c r="J340" i="1" s="1"/>
  <c r="K340" i="1" s="1"/>
  <c r="AQ340" i="1" s="1"/>
  <c r="I339" i="1"/>
  <c r="AP339" i="1" l="1"/>
  <c r="AO339" i="1"/>
  <c r="B340" i="1"/>
  <c r="AF340" i="1" l="1"/>
  <c r="AG340" i="1"/>
  <c r="AH340" i="1" s="1"/>
  <c r="C340" i="1"/>
  <c r="D340" i="1" s="1"/>
  <c r="E340" i="1" s="1"/>
  <c r="H340" i="1" s="1"/>
  <c r="M340" i="1" l="1"/>
  <c r="L340" i="1" s="1"/>
  <c r="J341" i="1" s="1"/>
  <c r="K341" i="1" s="1"/>
  <c r="AQ341" i="1" s="1"/>
  <c r="I340" i="1"/>
  <c r="AM340" i="1"/>
  <c r="AN340" i="1" s="1"/>
  <c r="AK340" i="1"/>
  <c r="AL340" i="1" s="1"/>
  <c r="AI340" i="1"/>
  <c r="AJ340" i="1" s="1"/>
  <c r="F340" i="1"/>
  <c r="G340" i="1" s="1"/>
  <c r="AP340" i="1" l="1"/>
  <c r="AO340" i="1"/>
  <c r="B341" i="1"/>
  <c r="AF341" i="1" l="1"/>
  <c r="C341" i="1"/>
  <c r="D341" i="1" s="1"/>
  <c r="E341" i="1" s="1"/>
  <c r="H341" i="1" s="1"/>
  <c r="AG341" i="1"/>
  <c r="AH341" i="1" s="1"/>
  <c r="F341" i="1" l="1"/>
  <c r="G341" i="1" s="1"/>
  <c r="M341" i="1"/>
  <c r="L341" i="1" s="1"/>
  <c r="J342" i="1" s="1"/>
  <c r="K342" i="1" s="1"/>
  <c r="AQ342" i="1" s="1"/>
  <c r="I341" i="1"/>
  <c r="AM341" i="1"/>
  <c r="AN341" i="1" s="1"/>
  <c r="AK341" i="1"/>
  <c r="AL341" i="1" s="1"/>
  <c r="AI341" i="1"/>
  <c r="AJ341" i="1" s="1"/>
  <c r="AP341" i="1" l="1"/>
  <c r="AO341" i="1"/>
  <c r="B342" i="1"/>
  <c r="AF342" i="1" l="1"/>
  <c r="C342" i="1"/>
  <c r="D342" i="1" s="1"/>
  <c r="E342" i="1" s="1"/>
  <c r="H342" i="1" s="1"/>
  <c r="AG342" i="1"/>
  <c r="AH342" i="1" s="1"/>
  <c r="AM342" i="1" l="1"/>
  <c r="AN342" i="1" s="1"/>
  <c r="AI342" i="1"/>
  <c r="AJ342" i="1" s="1"/>
  <c r="AK342" i="1"/>
  <c r="AL342" i="1" s="1"/>
  <c r="M342" i="1"/>
  <c r="L342" i="1" s="1"/>
  <c r="J343" i="1" s="1"/>
  <c r="K343" i="1" s="1"/>
  <c r="AQ343" i="1" s="1"/>
  <c r="I342" i="1"/>
  <c r="F342" i="1"/>
  <c r="G342" i="1" s="1"/>
  <c r="AP342" i="1" l="1"/>
  <c r="AO342" i="1"/>
  <c r="B343" i="1"/>
  <c r="C343" i="1" l="1"/>
  <c r="D343" i="1" s="1"/>
  <c r="E343" i="1" s="1"/>
  <c r="H343" i="1" s="1"/>
  <c r="AF343" i="1"/>
  <c r="AG343" i="1"/>
  <c r="AH343" i="1" s="1"/>
  <c r="AK343" i="1" l="1"/>
  <c r="AL343" i="1" s="1"/>
  <c r="AI343" i="1"/>
  <c r="AJ343" i="1" s="1"/>
  <c r="AM343" i="1"/>
  <c r="AN343" i="1" s="1"/>
  <c r="F343" i="1"/>
  <c r="G343" i="1" s="1"/>
  <c r="M343" i="1"/>
  <c r="L343" i="1" s="1"/>
  <c r="J344" i="1" s="1"/>
  <c r="K344" i="1" s="1"/>
  <c r="AQ344" i="1" s="1"/>
  <c r="I343" i="1"/>
  <c r="AO343" i="1" l="1"/>
  <c r="B344" i="1"/>
  <c r="AP343" i="1"/>
  <c r="AF344" i="1" l="1"/>
  <c r="AG344" i="1"/>
  <c r="AH344" i="1" s="1"/>
  <c r="C344" i="1"/>
  <c r="D344" i="1" s="1"/>
  <c r="E344" i="1" s="1"/>
  <c r="H344" i="1" s="1"/>
  <c r="F344" i="1" l="1"/>
  <c r="G344" i="1" s="1"/>
  <c r="M344" i="1"/>
  <c r="L344" i="1" s="1"/>
  <c r="J345" i="1" s="1"/>
  <c r="K345" i="1" s="1"/>
  <c r="AQ345" i="1" s="1"/>
  <c r="I344" i="1"/>
  <c r="AK344" i="1"/>
  <c r="AL344" i="1" s="1"/>
  <c r="AI344" i="1"/>
  <c r="AJ344" i="1" s="1"/>
  <c r="AM344" i="1"/>
  <c r="AN344" i="1" s="1"/>
  <c r="AP344" i="1" l="1"/>
  <c r="AO344" i="1"/>
  <c r="B345" i="1"/>
  <c r="AF345" i="1" l="1"/>
  <c r="C345" i="1"/>
  <c r="D345" i="1" s="1"/>
  <c r="E345" i="1" s="1"/>
  <c r="H345" i="1" s="1"/>
  <c r="AG345" i="1"/>
  <c r="AH345" i="1" s="1"/>
  <c r="F345" i="1" l="1"/>
  <c r="G345" i="1" s="1"/>
  <c r="AK345" i="1"/>
  <c r="AL345" i="1" s="1"/>
  <c r="AM345" i="1"/>
  <c r="AN345" i="1" s="1"/>
  <c r="AI345" i="1"/>
  <c r="AJ345" i="1" s="1"/>
  <c r="M345" i="1"/>
  <c r="L345" i="1" s="1"/>
  <c r="J346" i="1" s="1"/>
  <c r="K346" i="1" s="1"/>
  <c r="AQ346" i="1" s="1"/>
  <c r="I345" i="1"/>
  <c r="AP345" i="1" l="1"/>
  <c r="AO345" i="1"/>
  <c r="B346" i="1"/>
  <c r="AF346" i="1" l="1"/>
  <c r="AG346" i="1"/>
  <c r="AH346" i="1" s="1"/>
  <c r="C346" i="1"/>
  <c r="D346" i="1" s="1"/>
  <c r="E346" i="1" s="1"/>
  <c r="H346" i="1" s="1"/>
  <c r="F346" i="1" l="1"/>
  <c r="G346" i="1" s="1"/>
  <c r="AK346" i="1"/>
  <c r="AL346" i="1" s="1"/>
  <c r="AI346" i="1"/>
  <c r="AJ346" i="1" s="1"/>
  <c r="AM346" i="1"/>
  <c r="AN346" i="1" s="1"/>
  <c r="M346" i="1"/>
  <c r="L346" i="1" s="1"/>
  <c r="J347" i="1" s="1"/>
  <c r="K347" i="1" s="1"/>
  <c r="AQ347" i="1" s="1"/>
  <c r="I346" i="1"/>
  <c r="AP346" i="1" l="1"/>
  <c r="AO346" i="1"/>
  <c r="B347" i="1"/>
  <c r="AF347" i="1" l="1"/>
  <c r="AG347" i="1"/>
  <c r="AH347" i="1" s="1"/>
  <c r="C347" i="1"/>
  <c r="D347" i="1" s="1"/>
  <c r="E347" i="1" s="1"/>
  <c r="H347" i="1" s="1"/>
  <c r="F347" i="1" l="1"/>
  <c r="AM347" i="1"/>
  <c r="AN347" i="1" s="1"/>
  <c r="AI347" i="1"/>
  <c r="AJ347" i="1" s="1"/>
  <c r="AK347" i="1"/>
  <c r="AL347" i="1" s="1"/>
  <c r="M347" i="1"/>
  <c r="L347" i="1" s="1"/>
  <c r="J348" i="1" s="1"/>
  <c r="K348" i="1" s="1"/>
  <c r="AQ348" i="1" s="1"/>
  <c r="I347" i="1"/>
  <c r="G347" i="1"/>
  <c r="AO347" i="1" l="1"/>
  <c r="B348" i="1"/>
  <c r="AP347" i="1"/>
  <c r="AF348" i="1" l="1"/>
  <c r="AG348" i="1"/>
  <c r="AH348" i="1" s="1"/>
  <c r="C348" i="1"/>
  <c r="D348" i="1" s="1"/>
  <c r="E348" i="1" s="1"/>
  <c r="H348" i="1" s="1"/>
  <c r="M348" i="1" l="1"/>
  <c r="L348" i="1" s="1"/>
  <c r="J349" i="1" s="1"/>
  <c r="K349" i="1" s="1"/>
  <c r="AQ349" i="1" s="1"/>
  <c r="I348" i="1"/>
  <c r="AI348" i="1"/>
  <c r="AJ348" i="1" s="1"/>
  <c r="AK348" i="1"/>
  <c r="AL348" i="1" s="1"/>
  <c r="AM348" i="1"/>
  <c r="AN348" i="1" s="1"/>
  <c r="F348" i="1"/>
  <c r="G348" i="1" s="1"/>
  <c r="AO348" i="1" l="1"/>
  <c r="B349" i="1"/>
  <c r="AP348" i="1"/>
  <c r="AG349" i="1" l="1"/>
  <c r="AH349" i="1" s="1"/>
  <c r="AF349" i="1"/>
  <c r="C349" i="1"/>
  <c r="D349" i="1" s="1"/>
  <c r="E349" i="1" s="1"/>
  <c r="H349" i="1" s="1"/>
  <c r="F349" i="1" l="1"/>
  <c r="G349" i="1" s="1"/>
  <c r="M349" i="1"/>
  <c r="L349" i="1" s="1"/>
  <c r="J350" i="1" s="1"/>
  <c r="K350" i="1" s="1"/>
  <c r="AQ350" i="1" s="1"/>
  <c r="I349" i="1"/>
  <c r="AI349" i="1"/>
  <c r="AJ349" i="1" s="1"/>
  <c r="AK349" i="1"/>
  <c r="AL349" i="1" s="1"/>
  <c r="AM349" i="1"/>
  <c r="AN349" i="1" s="1"/>
  <c r="AO349" i="1" l="1"/>
  <c r="B350" i="1"/>
  <c r="AP349" i="1"/>
  <c r="AF350" i="1" l="1"/>
  <c r="C350" i="1"/>
  <c r="D350" i="1" s="1"/>
  <c r="E350" i="1" s="1"/>
  <c r="H350" i="1" s="1"/>
  <c r="AG350" i="1"/>
  <c r="AH350" i="1" s="1"/>
  <c r="M350" i="1" l="1"/>
  <c r="L350" i="1" s="1"/>
  <c r="J351" i="1" s="1"/>
  <c r="K351" i="1" s="1"/>
  <c r="AQ351" i="1" s="1"/>
  <c r="I350" i="1"/>
  <c r="F350" i="1"/>
  <c r="G350" i="1" s="1"/>
  <c r="AK350" i="1"/>
  <c r="AL350" i="1" s="1"/>
  <c r="AI350" i="1"/>
  <c r="AJ350" i="1" s="1"/>
  <c r="AM350" i="1"/>
  <c r="AN350" i="1" s="1"/>
  <c r="AP350" i="1" l="1"/>
  <c r="AO350" i="1"/>
  <c r="B351" i="1"/>
  <c r="AF351" i="1" l="1"/>
  <c r="C351" i="1"/>
  <c r="D351" i="1" s="1"/>
  <c r="E351" i="1" s="1"/>
  <c r="H351" i="1" s="1"/>
  <c r="AG351" i="1"/>
  <c r="AH351" i="1" s="1"/>
  <c r="F351" i="1" l="1"/>
  <c r="G351" i="1" s="1"/>
  <c r="AM351" i="1"/>
  <c r="AN351" i="1" s="1"/>
  <c r="AI351" i="1"/>
  <c r="AJ351" i="1" s="1"/>
  <c r="AK351" i="1"/>
  <c r="AL351" i="1" s="1"/>
  <c r="M351" i="1"/>
  <c r="L351" i="1" s="1"/>
  <c r="J352" i="1" s="1"/>
  <c r="K352" i="1" s="1"/>
  <c r="AQ352" i="1" s="1"/>
  <c r="I351" i="1"/>
  <c r="AP351" i="1" l="1"/>
  <c r="AO351" i="1"/>
  <c r="B352" i="1"/>
  <c r="AG352" i="1" l="1"/>
  <c r="AH352" i="1" s="1"/>
  <c r="C352" i="1"/>
  <c r="D352" i="1" s="1"/>
  <c r="E352" i="1" s="1"/>
  <c r="H352" i="1" s="1"/>
  <c r="AF352" i="1"/>
  <c r="F352" i="1" l="1"/>
  <c r="G352" i="1" s="1"/>
  <c r="M352" i="1"/>
  <c r="L352" i="1" s="1"/>
  <c r="J353" i="1" s="1"/>
  <c r="K353" i="1" s="1"/>
  <c r="AQ353" i="1" s="1"/>
  <c r="I352" i="1"/>
  <c r="AM352" i="1"/>
  <c r="AN352" i="1" s="1"/>
  <c r="AK352" i="1"/>
  <c r="AL352" i="1" s="1"/>
  <c r="AI352" i="1"/>
  <c r="AJ352" i="1" s="1"/>
  <c r="AP352" i="1" l="1"/>
  <c r="AO352" i="1"/>
  <c r="B353" i="1"/>
  <c r="AG353" i="1" l="1"/>
  <c r="AH353" i="1" s="1"/>
  <c r="C353" i="1"/>
  <c r="D353" i="1" s="1"/>
  <c r="E353" i="1" s="1"/>
  <c r="H353" i="1" s="1"/>
  <c r="AF353" i="1"/>
  <c r="F353" i="1" l="1"/>
  <c r="G353" i="1" s="1"/>
  <c r="M353" i="1"/>
  <c r="L353" i="1" s="1"/>
  <c r="J354" i="1" s="1"/>
  <c r="K354" i="1" s="1"/>
  <c r="AQ354" i="1" s="1"/>
  <c r="I353" i="1"/>
  <c r="AK353" i="1"/>
  <c r="AL353" i="1" s="1"/>
  <c r="AM353" i="1"/>
  <c r="AN353" i="1" s="1"/>
  <c r="AI353" i="1"/>
  <c r="AJ353" i="1" s="1"/>
  <c r="AP353" i="1" l="1"/>
  <c r="AO353" i="1"/>
  <c r="B354" i="1"/>
  <c r="AF354" i="1" l="1"/>
  <c r="C354" i="1"/>
  <c r="D354" i="1" s="1"/>
  <c r="E354" i="1" s="1"/>
  <c r="H354" i="1" s="1"/>
  <c r="AG354" i="1"/>
  <c r="AH354" i="1" s="1"/>
  <c r="F354" i="1" l="1"/>
  <c r="G354" i="1" s="1"/>
  <c r="AM354" i="1"/>
  <c r="AN354" i="1" s="1"/>
  <c r="AK354" i="1"/>
  <c r="AL354" i="1" s="1"/>
  <c r="AI354" i="1"/>
  <c r="AJ354" i="1" s="1"/>
  <c r="M354" i="1"/>
  <c r="L354" i="1" s="1"/>
  <c r="J355" i="1" s="1"/>
  <c r="K355" i="1" s="1"/>
  <c r="AQ355" i="1" s="1"/>
  <c r="I354" i="1"/>
  <c r="AP354" i="1" l="1"/>
  <c r="AO354" i="1"/>
  <c r="B355" i="1"/>
  <c r="AG355" i="1" l="1"/>
  <c r="AH355" i="1" s="1"/>
  <c r="AF355" i="1"/>
  <c r="C355" i="1"/>
  <c r="D355" i="1" s="1"/>
  <c r="E355" i="1" s="1"/>
  <c r="H355" i="1" s="1"/>
  <c r="F355" i="1" l="1"/>
  <c r="G355" i="1" s="1"/>
  <c r="M355" i="1"/>
  <c r="L355" i="1" s="1"/>
  <c r="J356" i="1" s="1"/>
  <c r="K356" i="1" s="1"/>
  <c r="AQ356" i="1" s="1"/>
  <c r="I355" i="1"/>
  <c r="AK355" i="1"/>
  <c r="AL355" i="1" s="1"/>
  <c r="AM355" i="1"/>
  <c r="AN355" i="1" s="1"/>
  <c r="AI355" i="1"/>
  <c r="AJ355" i="1" s="1"/>
  <c r="AP355" i="1" l="1"/>
  <c r="B356" i="1"/>
  <c r="AO355" i="1"/>
  <c r="AG356" i="1" l="1"/>
  <c r="AH356" i="1" s="1"/>
  <c r="AF356" i="1"/>
  <c r="C356" i="1"/>
  <c r="D356" i="1" s="1"/>
  <c r="E356" i="1" s="1"/>
  <c r="H356" i="1" l="1"/>
  <c r="F356" i="1"/>
  <c r="AI356" i="1"/>
  <c r="AJ356" i="1" s="1"/>
  <c r="AM356" i="1"/>
  <c r="AN356" i="1" s="1"/>
  <c r="AK356" i="1"/>
  <c r="AL356" i="1" s="1"/>
  <c r="AP356" i="1" l="1"/>
  <c r="M356" i="1"/>
  <c r="L356" i="1" s="1"/>
  <c r="J357" i="1" s="1"/>
  <c r="K357" i="1" s="1"/>
  <c r="AQ357" i="1" s="1"/>
  <c r="G356" i="1"/>
  <c r="I356" i="1"/>
  <c r="B357" i="1" l="1"/>
  <c r="AO356" i="1"/>
  <c r="C357" i="1" l="1"/>
  <c r="D357" i="1" s="1"/>
  <c r="E357" i="1" s="1"/>
  <c r="AF357" i="1"/>
  <c r="AG357" i="1"/>
  <c r="AH357" i="1" s="1"/>
  <c r="AK357" i="1" l="1"/>
  <c r="AL357" i="1" s="1"/>
  <c r="AI357" i="1"/>
  <c r="AJ357" i="1" s="1"/>
  <c r="AM357" i="1"/>
  <c r="AN357" i="1" s="1"/>
  <c r="H357" i="1"/>
  <c r="F357" i="1"/>
  <c r="M357" i="1" l="1"/>
  <c r="L357" i="1" s="1"/>
  <c r="J358" i="1" s="1"/>
  <c r="K358" i="1" s="1"/>
  <c r="AQ358" i="1" s="1"/>
  <c r="I357" i="1"/>
  <c r="AP357" i="1"/>
  <c r="G357" i="1"/>
  <c r="AO357" i="1" l="1"/>
  <c r="B358" i="1"/>
  <c r="C358" i="1" l="1"/>
  <c r="D358" i="1" s="1"/>
  <c r="E358" i="1" s="1"/>
  <c r="H358" i="1" s="1"/>
  <c r="AG358" i="1"/>
  <c r="AH358" i="1" s="1"/>
  <c r="AF358" i="1"/>
  <c r="F358" i="1" l="1"/>
  <c r="G358" i="1" s="1"/>
  <c r="AI358" i="1"/>
  <c r="AJ358" i="1" s="1"/>
  <c r="AK358" i="1"/>
  <c r="AL358" i="1" s="1"/>
  <c r="AM358" i="1"/>
  <c r="AN358" i="1" s="1"/>
  <c r="M358" i="1"/>
  <c r="L358" i="1" s="1"/>
  <c r="J359" i="1" s="1"/>
  <c r="K359" i="1" s="1"/>
  <c r="AQ359" i="1" s="1"/>
  <c r="I358" i="1"/>
  <c r="AO358" i="1" l="1"/>
  <c r="B359" i="1"/>
  <c r="AP358" i="1"/>
  <c r="AG359" i="1" l="1"/>
  <c r="AH359" i="1" s="1"/>
  <c r="AF359" i="1"/>
  <c r="C359" i="1"/>
  <c r="D359" i="1" s="1"/>
  <c r="E359" i="1" s="1"/>
  <c r="H359" i="1" l="1"/>
  <c r="F359" i="1"/>
  <c r="AI359" i="1"/>
  <c r="AJ359" i="1" s="1"/>
  <c r="AK359" i="1"/>
  <c r="AL359" i="1" s="1"/>
  <c r="AM359" i="1"/>
  <c r="AN359" i="1" s="1"/>
  <c r="AP359" i="1" l="1"/>
  <c r="G359" i="1"/>
  <c r="M359" i="1"/>
  <c r="L359" i="1" s="1"/>
  <c r="J360" i="1" s="1"/>
  <c r="K360" i="1" s="1"/>
  <c r="AQ360" i="1" s="1"/>
  <c r="I359" i="1"/>
  <c r="AO359" i="1" l="1"/>
  <c r="B360" i="1"/>
  <c r="AF360" i="1" l="1"/>
  <c r="AG360" i="1"/>
  <c r="AH360" i="1" s="1"/>
  <c r="C360" i="1"/>
  <c r="D360" i="1" s="1"/>
  <c r="E360" i="1" s="1"/>
  <c r="H360" i="1" s="1"/>
  <c r="F360" i="1" l="1"/>
  <c r="G360" i="1" s="1"/>
  <c r="AM360" i="1"/>
  <c r="AN360" i="1" s="1"/>
  <c r="AK360" i="1"/>
  <c r="AL360" i="1" s="1"/>
  <c r="AI360" i="1"/>
  <c r="AJ360" i="1" s="1"/>
  <c r="M360" i="1"/>
  <c r="L360" i="1" s="1"/>
  <c r="J361" i="1" s="1"/>
  <c r="K361" i="1" s="1"/>
  <c r="AQ361" i="1" s="1"/>
  <c r="I360" i="1"/>
  <c r="AP360" i="1" l="1"/>
  <c r="B361" i="1"/>
  <c r="AO360" i="1"/>
  <c r="AG361" i="1" l="1"/>
  <c r="AH361" i="1" s="1"/>
  <c r="AF361" i="1"/>
  <c r="C361" i="1"/>
  <c r="D361" i="1" s="1"/>
  <c r="E361" i="1" s="1"/>
  <c r="H361" i="1" l="1"/>
  <c r="F361" i="1"/>
  <c r="AK361" i="1"/>
  <c r="AL361" i="1" s="1"/>
  <c r="AI361" i="1"/>
  <c r="AJ361" i="1" s="1"/>
  <c r="AM361" i="1"/>
  <c r="AN361" i="1" s="1"/>
  <c r="AP361" i="1" l="1"/>
  <c r="M361" i="1"/>
  <c r="L361" i="1" s="1"/>
  <c r="J362" i="1" s="1"/>
  <c r="K362" i="1" s="1"/>
  <c r="AQ362" i="1" s="1"/>
  <c r="G361" i="1"/>
  <c r="I361" i="1"/>
  <c r="AO361" i="1" l="1"/>
  <c r="B362" i="1"/>
  <c r="AF362" i="1" l="1"/>
  <c r="C362" i="1"/>
  <c r="D362" i="1" s="1"/>
  <c r="E362" i="1" s="1"/>
  <c r="H362" i="1" s="1"/>
  <c r="AG362" i="1"/>
  <c r="AH362" i="1" s="1"/>
  <c r="F362" i="1" l="1"/>
  <c r="AK362" i="1"/>
  <c r="AL362" i="1" s="1"/>
  <c r="AI362" i="1"/>
  <c r="AJ362" i="1" s="1"/>
  <c r="AM362" i="1"/>
  <c r="AN362" i="1" s="1"/>
  <c r="M362" i="1"/>
  <c r="L362" i="1" s="1"/>
  <c r="J363" i="1" s="1"/>
  <c r="K363" i="1" s="1"/>
  <c r="AQ363" i="1" s="1"/>
  <c r="G362" i="1"/>
  <c r="I362" i="1"/>
  <c r="B363" i="1" l="1"/>
  <c r="AO362" i="1"/>
  <c r="AP362" i="1"/>
  <c r="AF363" i="1" l="1"/>
  <c r="C363" i="1"/>
  <c r="D363" i="1" s="1"/>
  <c r="E363" i="1" s="1"/>
  <c r="H363" i="1" s="1"/>
  <c r="AG363" i="1"/>
  <c r="AH363" i="1" s="1"/>
  <c r="F363" i="1" l="1"/>
  <c r="G363" i="1" s="1"/>
  <c r="AK363" i="1"/>
  <c r="AL363" i="1" s="1"/>
  <c r="AI363" i="1"/>
  <c r="AJ363" i="1" s="1"/>
  <c r="AM363" i="1"/>
  <c r="AN363" i="1" s="1"/>
  <c r="M363" i="1"/>
  <c r="L363" i="1" s="1"/>
  <c r="J364" i="1" s="1"/>
  <c r="K364" i="1" s="1"/>
  <c r="AQ364" i="1" s="1"/>
  <c r="I363" i="1"/>
  <c r="AP363" i="1" l="1"/>
  <c r="B364" i="1"/>
  <c r="AO363" i="1"/>
  <c r="AF364" i="1" l="1"/>
  <c r="C364" i="1"/>
  <c r="D364" i="1" s="1"/>
  <c r="E364" i="1" s="1"/>
  <c r="H364" i="1" s="1"/>
  <c r="AG364" i="1"/>
  <c r="AH364" i="1" s="1"/>
  <c r="F364" i="1" l="1"/>
  <c r="G364" i="1" s="1"/>
  <c r="M364" i="1"/>
  <c r="L364" i="1" s="1"/>
  <c r="J365" i="1" s="1"/>
  <c r="K365" i="1" s="1"/>
  <c r="AQ365" i="1" s="1"/>
  <c r="I364" i="1"/>
  <c r="AI364" i="1"/>
  <c r="AJ364" i="1" s="1"/>
  <c r="AK364" i="1"/>
  <c r="AL364" i="1" s="1"/>
  <c r="AM364" i="1"/>
  <c r="AN364" i="1" s="1"/>
  <c r="AP364" i="1" l="1"/>
  <c r="B365" i="1"/>
  <c r="AO364" i="1"/>
  <c r="C365" i="1" l="1"/>
  <c r="D365" i="1" s="1"/>
  <c r="E365" i="1" s="1"/>
  <c r="H365" i="1" s="1"/>
  <c r="AG365" i="1"/>
  <c r="AH365" i="1" s="1"/>
  <c r="AF365" i="1"/>
  <c r="F365" i="1" l="1"/>
  <c r="G365" i="1" s="1"/>
  <c r="AM365" i="1"/>
  <c r="AN365" i="1" s="1"/>
  <c r="AK365" i="1"/>
  <c r="AL365" i="1" s="1"/>
  <c r="AI365" i="1"/>
  <c r="AJ365" i="1" s="1"/>
  <c r="M365" i="1"/>
  <c r="L365" i="1" s="1"/>
  <c r="J366" i="1" s="1"/>
  <c r="K366" i="1" s="1"/>
  <c r="AQ366" i="1" s="1"/>
  <c r="I365" i="1"/>
  <c r="AP365" i="1" l="1"/>
  <c r="B366" i="1"/>
  <c r="AO365" i="1"/>
  <c r="AG366" i="1" l="1"/>
  <c r="AH366" i="1" s="1"/>
  <c r="C366" i="1"/>
  <c r="D366" i="1" s="1"/>
  <c r="E366" i="1" s="1"/>
  <c r="H366" i="1" s="1"/>
  <c r="AF366" i="1"/>
  <c r="F366" i="1" l="1"/>
  <c r="G366" i="1" s="1"/>
  <c r="M366" i="1"/>
  <c r="L366" i="1" s="1"/>
  <c r="J367" i="1" s="1"/>
  <c r="K367" i="1" s="1"/>
  <c r="AQ367" i="1" s="1"/>
  <c r="I366" i="1"/>
  <c r="AI366" i="1"/>
  <c r="AJ366" i="1" s="1"/>
  <c r="AK366" i="1"/>
  <c r="AL366" i="1" s="1"/>
  <c r="AM366" i="1"/>
  <c r="AN366" i="1" s="1"/>
  <c r="AP366" i="1" l="1"/>
  <c r="AO366" i="1"/>
  <c r="B367" i="1"/>
  <c r="AF367" i="1" l="1"/>
  <c r="AG367" i="1"/>
  <c r="AH367" i="1" s="1"/>
  <c r="C367" i="1"/>
  <c r="D367" i="1" s="1"/>
  <c r="E367" i="1" s="1"/>
  <c r="H367" i="1" s="1"/>
  <c r="M367" i="1" l="1"/>
  <c r="L367" i="1" s="1"/>
  <c r="J368" i="1" s="1"/>
  <c r="K368" i="1" s="1"/>
  <c r="AQ368" i="1" s="1"/>
  <c r="I367" i="1"/>
  <c r="AI367" i="1"/>
  <c r="AJ367" i="1" s="1"/>
  <c r="AM367" i="1"/>
  <c r="AN367" i="1" s="1"/>
  <c r="AK367" i="1"/>
  <c r="AL367" i="1" s="1"/>
  <c r="F367" i="1"/>
  <c r="G367" i="1" s="1"/>
  <c r="AO367" i="1" l="1"/>
  <c r="B368" i="1"/>
  <c r="AP367" i="1"/>
  <c r="AG368" i="1" l="1"/>
  <c r="AH368" i="1" s="1"/>
  <c r="AF368" i="1"/>
  <c r="C368" i="1"/>
  <c r="D368" i="1" s="1"/>
  <c r="E368" i="1" s="1"/>
  <c r="H368" i="1" s="1"/>
  <c r="M368" i="1" l="1"/>
  <c r="L368" i="1" s="1"/>
  <c r="J369" i="1" s="1"/>
  <c r="K369" i="1" s="1"/>
  <c r="AQ369" i="1" s="1"/>
  <c r="I368" i="1"/>
  <c r="F368" i="1"/>
  <c r="G368" i="1" s="1"/>
  <c r="AI368" i="1"/>
  <c r="AJ368" i="1" s="1"/>
  <c r="AM368" i="1"/>
  <c r="AN368" i="1" s="1"/>
  <c r="AK368" i="1"/>
  <c r="AL368" i="1" s="1"/>
  <c r="AP368" i="1" l="1"/>
  <c r="B369" i="1"/>
  <c r="AO368" i="1"/>
  <c r="AF369" i="1" l="1"/>
  <c r="C369" i="1"/>
  <c r="D369" i="1" s="1"/>
  <c r="E369" i="1" s="1"/>
  <c r="H369" i="1" s="1"/>
  <c r="AG369" i="1"/>
  <c r="AH369" i="1" s="1"/>
  <c r="F369" i="1" l="1"/>
  <c r="G369" i="1" s="1"/>
  <c r="I369" i="1"/>
  <c r="M369" i="1"/>
  <c r="L369" i="1" s="1"/>
  <c r="J370" i="1" s="1"/>
  <c r="K370" i="1" s="1"/>
  <c r="AQ370" i="1" s="1"/>
  <c r="T33" i="2" s="1"/>
  <c r="AK369" i="1"/>
  <c r="AL369" i="1" s="1"/>
  <c r="AM369" i="1"/>
  <c r="AN369" i="1" s="1"/>
  <c r="AI369" i="1"/>
  <c r="AJ369" i="1" s="1"/>
  <c r="AP369" i="1" l="1"/>
  <c r="B370" i="1"/>
  <c r="AO369" i="1"/>
  <c r="AF370" i="1" l="1"/>
  <c r="AG370" i="1"/>
  <c r="AH370" i="1" s="1"/>
  <c r="C370" i="1"/>
  <c r="D370" i="1" s="1"/>
  <c r="E370" i="1" s="1"/>
  <c r="H370" i="1" s="1"/>
  <c r="F370" i="1" l="1"/>
  <c r="G370" i="1" s="1"/>
  <c r="AK370" i="1"/>
  <c r="AL370" i="1" s="1"/>
  <c r="AI370" i="1"/>
  <c r="AJ370" i="1" s="1"/>
  <c r="AM370" i="1"/>
  <c r="AN370" i="1" s="1"/>
  <c r="M370" i="1"/>
  <c r="L370" i="1" s="1"/>
  <c r="J371" i="1" s="1"/>
  <c r="K371" i="1" s="1"/>
  <c r="I370" i="1"/>
  <c r="AP370" i="1" l="1"/>
  <c r="R33" i="2" s="1"/>
  <c r="AQ371" i="1"/>
  <c r="AQ372" i="1" s="1"/>
  <c r="K372" i="1"/>
  <c r="AO370" i="1"/>
  <c r="AO372" i="1" s="1"/>
  <c r="B371" i="1"/>
  <c r="G372" i="1"/>
  <c r="T34" i="2" l="1"/>
  <c r="C371" i="1"/>
  <c r="D371" i="1" s="1"/>
  <c r="E371" i="1" s="1"/>
  <c r="H371" i="1" s="1"/>
  <c r="AG371" i="1"/>
  <c r="AH371" i="1" s="1"/>
  <c r="AF371" i="1"/>
  <c r="M371" i="1" l="1"/>
  <c r="H372" i="1"/>
  <c r="F371" i="1"/>
  <c r="AF372" i="1"/>
  <c r="AK371" i="1"/>
  <c r="AI371" i="1"/>
  <c r="AJ371" i="1" s="1"/>
  <c r="AM371" i="1"/>
  <c r="AN371" i="1" s="1"/>
  <c r="AN372" i="1" s="1"/>
  <c r="AJ372" i="1" l="1"/>
  <c r="AL371" i="1"/>
  <c r="AL372" i="1" s="1"/>
  <c r="AK372" i="1"/>
  <c r="I371" i="1"/>
  <c r="F372" i="1"/>
  <c r="L371" i="1"/>
  <c r="L372" i="1" s="1"/>
  <c r="M372" i="1"/>
  <c r="O372" i="1" l="1"/>
  <c r="P372" i="1" s="1"/>
  <c r="AP371" i="1"/>
  <c r="AP372" i="1" s="1"/>
  <c r="AU372" i="1" l="1"/>
  <c r="M19" i="2" s="1"/>
  <c r="AS372" i="1"/>
  <c r="AT372" i="1" s="1"/>
  <c r="R34" i="2"/>
  <c r="M15" i="2" l="1"/>
  <c r="M16" i="2" s="1"/>
  <c r="D37" i="2" s="1"/>
  <c r="M14" i="2"/>
</calcChain>
</file>

<file path=xl/sharedStrings.xml><?xml version="1.0" encoding="utf-8"?>
<sst xmlns="http://schemas.openxmlformats.org/spreadsheetml/2006/main" count="90" uniqueCount="69">
  <si>
    <t>Schuldrest</t>
  </si>
  <si>
    <t>Rente</t>
  </si>
  <si>
    <t>Aflossing</t>
  </si>
  <si>
    <t>Maand</t>
  </si>
  <si>
    <t>Looptijd in maanden</t>
  </si>
  <si>
    <t>Hypotheek ten opzichte van marktwaarde (MW)</t>
  </si>
  <si>
    <t>Opslag</t>
  </si>
  <si>
    <t>%MW</t>
  </si>
  <si>
    <t xml:space="preserve">&gt; </t>
  </si>
  <si>
    <t>&gt;</t>
  </si>
  <si>
    <t>&lt;=</t>
  </si>
  <si>
    <t>Automatisch opslag aanpassen?</t>
  </si>
  <si>
    <t>MKP Berekening</t>
  </si>
  <si>
    <t>Rentelast zonder automatische afslag</t>
  </si>
  <si>
    <t>ja</t>
  </si>
  <si>
    <t>Rentelast MUNT</t>
  </si>
  <si>
    <t>Maandbetaling MUNT</t>
  </si>
  <si>
    <t>Maandbetaling zonder automatische afslag</t>
  </si>
  <si>
    <t>Marktwaarde woning</t>
  </si>
  <si>
    <t>MUNT Hypotheken heeft altijd het juiste tarief</t>
  </si>
  <si>
    <t>Na 5 jaar</t>
  </si>
  <si>
    <t>Na 10 jaar</t>
  </si>
  <si>
    <t>Na 15 jaar</t>
  </si>
  <si>
    <t>Na 20 jaar</t>
  </si>
  <si>
    <t>Na 25 jaar</t>
  </si>
  <si>
    <t>Na 30 jaar</t>
  </si>
  <si>
    <t>Aanvang lening</t>
  </si>
  <si>
    <t>Verschil in maandelijkse rentelasten gedurende de looptijd van de lening:</t>
  </si>
  <si>
    <t>Moment tijdens looptijd:</t>
  </si>
  <si>
    <t>Totale Rentelast</t>
  </si>
  <si>
    <t>Voor meer informatie kijkt u op: www.munthypotheken.nl</t>
  </si>
  <si>
    <t>Invoervelden Hypotheek</t>
  </si>
  <si>
    <t>Indicatie Rentebesparing bij automatisch vervallen rente-opslagen</t>
  </si>
  <si>
    <t>Disclaimer: Aan deze informatie kunnen geen rechten worden ontleend. Dit is een indicatie bij 100% annuïtaire aflossing.</t>
  </si>
  <si>
    <t>Rentelast MUNT HYPOTHEKEN</t>
  </si>
  <si>
    <t>Besparing bij</t>
  </si>
  <si>
    <t>MUNT</t>
  </si>
  <si>
    <t>HYPOTHEKEN</t>
  </si>
  <si>
    <t>Totaal hypotheeklening</t>
  </si>
  <si>
    <t>Rentelast</t>
  </si>
  <si>
    <t>Versie: 2.0</t>
  </si>
  <si>
    <t>Schuldrest die aanpast aan looptijd</t>
  </si>
  <si>
    <t>Schuldrest vast</t>
  </si>
  <si>
    <t>Looptijd - maand</t>
  </si>
  <si>
    <t>Rente LD1</t>
  </si>
  <si>
    <t>Rente LD2</t>
  </si>
  <si>
    <t>Rente LD3</t>
  </si>
  <si>
    <t>Rentelast LD1</t>
  </si>
  <si>
    <t>Rentelast LD2</t>
  </si>
  <si>
    <t>Rentelast LD3</t>
  </si>
  <si>
    <t>LD1: annuïteit</t>
  </si>
  <si>
    <t>LD2: Lineair</t>
  </si>
  <si>
    <t>LD3: Aflossingsvrij</t>
  </si>
  <si>
    <t>LD1 + LD2 + LD3</t>
  </si>
  <si>
    <t>LD 1 + LD 2</t>
  </si>
  <si>
    <t>Totaal (LD1+LD2+LD3)</t>
  </si>
  <si>
    <t>Besparing EURO</t>
  </si>
  <si>
    <t>Besparing in %</t>
  </si>
  <si>
    <t>Gem. rente looptijd</t>
  </si>
  <si>
    <t>Rentetarief</t>
  </si>
  <si>
    <t>Afloswijze 1: Annuïtaire hypotheeklening</t>
  </si>
  <si>
    <t>Afloswijze 2: Lineaire hypotheeklening</t>
  </si>
  <si>
    <t>Afloswijze 3: Aflossingsvrije hypotheeklening</t>
  </si>
  <si>
    <t>Gemiddelde rente</t>
  </si>
  <si>
    <t>over looptijd</t>
  </si>
  <si>
    <t xml:space="preserve">hypotheekaanbieders doen dit niet. Klanten van MUNT Hypotheken betalen daardoor over de looptijd gemeten </t>
  </si>
  <si>
    <t>veel  minder  rente.</t>
  </si>
  <si>
    <t>Datum: 17 mei 2016</t>
  </si>
  <si>
    <t>Bij MUNT Hypotheken vervalt de rente-opslag automatisch als er voldoende is afgelost. Veel andere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</si>
</sst>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€&quot;\ #,##0;[Red]&quot;€&quot;\ \-#,##0"/>
    <numFmt numFmtId="8" formatCode="&quot;€&quot;\ #,##0.00;[Red]&quot;€&quot;\ \-#,##0.00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"/>
    <numFmt numFmtId="165" formatCode="&quot;€&quot;\ #,##0"/>
    <numFmt numFmtId="166" formatCode="_ [$€-413]\ * #,##0.00_ ;_ [$€-413]\ * \-#,##0.00_ ;_ [$€-413]\ * &quot;-&quot;??_ ;_ @_ "/>
    <numFmt numFmtId="167" formatCode="0.0%"/>
    <numFmt numFmtId="168" formatCode="0.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Serifa"/>
    </font>
    <font>
      <b/>
      <sz val="14"/>
      <color rgb="FF00B050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sz val="11"/>
      <color rgb="FF00C389"/>
      <name val="Calibri"/>
      <family val="2"/>
      <scheme val="minor"/>
    </font>
    <font>
      <b/>
      <sz val="14"/>
      <color rgb="FF00C389"/>
      <name val="Calibri"/>
      <family val="2"/>
      <scheme val="minor"/>
    </font>
    <font>
      <b/>
      <sz val="18"/>
      <color rgb="FF00C389"/>
      <name val="Calibri"/>
      <family val="2"/>
      <scheme val="minor"/>
    </font>
    <font>
      <b/>
      <sz val="17"/>
      <color rgb="FF00C389"/>
      <name val="Calibri"/>
      <family val="2"/>
      <scheme val="minor"/>
    </font>
    <font>
      <b/>
      <sz val="18"/>
      <name val="Calibri"/>
      <family val="2"/>
      <scheme val="minor"/>
    </font>
    <font>
      <b/>
      <sz val="21"/>
      <color rgb="FF00C389"/>
      <name val="Serifa"/>
    </font>
    <font>
      <b/>
      <sz val="13"/>
      <name val="Serifa"/>
    </font>
    <font>
      <i/>
      <sz val="10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C389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ck">
        <color rgb="FF00C389"/>
      </left>
      <right/>
      <top style="thick">
        <color rgb="FF00C389"/>
      </top>
      <bottom/>
      <diagonal/>
    </border>
    <border>
      <left/>
      <right/>
      <top style="thick">
        <color rgb="FF00C389"/>
      </top>
      <bottom/>
      <diagonal/>
    </border>
    <border>
      <left/>
      <right style="thick">
        <color rgb="FF00C389"/>
      </right>
      <top style="thick">
        <color rgb="FF00C389"/>
      </top>
      <bottom/>
      <diagonal/>
    </border>
    <border>
      <left style="thick">
        <color rgb="FF00C389"/>
      </left>
      <right/>
      <top/>
      <bottom/>
      <diagonal/>
    </border>
    <border>
      <left/>
      <right style="thick">
        <color rgb="FF00C389"/>
      </right>
      <top/>
      <bottom/>
      <diagonal/>
    </border>
    <border>
      <left style="thick">
        <color rgb="FF00C389"/>
      </left>
      <right/>
      <top/>
      <bottom style="thick">
        <color rgb="FF00C389"/>
      </bottom>
      <diagonal/>
    </border>
    <border>
      <left/>
      <right/>
      <top/>
      <bottom style="thick">
        <color rgb="FF00C389"/>
      </bottom>
      <diagonal/>
    </border>
    <border>
      <left/>
      <right style="thick">
        <color rgb="FF00C389"/>
      </right>
      <top/>
      <bottom style="thick">
        <color rgb="FF00C389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10">
    <xf numFmtId="0" fontId="0" fillId="0" borderId="0" xfId="0"/>
    <xf numFmtId="10" fontId="0" fillId="0" borderId="0" xfId="0" applyNumberFormat="1"/>
    <xf numFmtId="164" fontId="0" fillId="0" borderId="0" xfId="0" applyNumberFormat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 applyAlignment="1">
      <alignment horizontal="right"/>
    </xf>
    <xf numFmtId="9" fontId="0" fillId="0" borderId="0" xfId="0" applyNumberFormat="1" applyBorder="1"/>
    <xf numFmtId="9" fontId="0" fillId="0" borderId="4" xfId="0" applyNumberFormat="1" applyBorder="1"/>
    <xf numFmtId="10" fontId="0" fillId="2" borderId="7" xfId="0" applyNumberFormat="1" applyFill="1" applyBorder="1" applyAlignment="1">
      <alignment horizontal="right"/>
    </xf>
    <xf numFmtId="10" fontId="0" fillId="2" borderId="7" xfId="0" applyNumberFormat="1" applyFill="1" applyBorder="1"/>
    <xf numFmtId="10" fontId="0" fillId="2" borderId="8" xfId="0" applyNumberFormat="1" applyFill="1" applyBorder="1"/>
    <xf numFmtId="0" fontId="2" fillId="0" borderId="0" xfId="0" applyFont="1" applyFill="1" applyAlignment="1">
      <alignment horizontal="right"/>
    </xf>
    <xf numFmtId="164" fontId="0" fillId="0" borderId="0" xfId="0" applyNumberFormat="1" applyFill="1"/>
    <xf numFmtId="0" fontId="0" fillId="0" borderId="0" xfId="0" applyFill="1"/>
    <xf numFmtId="0" fontId="0" fillId="0" borderId="9" xfId="0" applyFont="1" applyFill="1" applyBorder="1"/>
    <xf numFmtId="164" fontId="0" fillId="0" borderId="9" xfId="0" applyNumberFormat="1" applyFont="1" applyFill="1" applyBorder="1"/>
    <xf numFmtId="10" fontId="0" fillId="0" borderId="0" xfId="1" applyNumberFormat="1" applyFont="1"/>
    <xf numFmtId="0" fontId="3" fillId="4" borderId="10" xfId="0" applyFont="1" applyFill="1" applyBorder="1" applyAlignment="1">
      <alignment horizontal="right"/>
    </xf>
    <xf numFmtId="0" fontId="0" fillId="0" borderId="0" xfId="0" applyFill="1" applyBorder="1"/>
    <xf numFmtId="0" fontId="0" fillId="2" borderId="1" xfId="0" applyFill="1" applyBorder="1" applyAlignment="1">
      <alignment horizontal="right"/>
    </xf>
    <xf numFmtId="0" fontId="0" fillId="5" borderId="0" xfId="0" applyFill="1" applyBorder="1"/>
    <xf numFmtId="0" fontId="3" fillId="4" borderId="0" xfId="0" applyFont="1" applyFill="1" applyBorder="1" applyAlignment="1">
      <alignment horizontal="right"/>
    </xf>
    <xf numFmtId="166" fontId="0" fillId="0" borderId="0" xfId="0" applyNumberFormat="1"/>
    <xf numFmtId="44" fontId="0" fillId="0" borderId="0" xfId="2" applyFont="1"/>
    <xf numFmtId="44" fontId="0" fillId="0" borderId="0" xfId="0" applyNumberFormat="1"/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/>
    <xf numFmtId="9" fontId="7" fillId="0" borderId="0" xfId="1" applyFont="1" applyFill="1" applyBorder="1" applyAlignment="1">
      <alignment horizontal="center" vertical="top"/>
    </xf>
    <xf numFmtId="0" fontId="0" fillId="5" borderId="0" xfId="0" applyFill="1" applyBorder="1" applyAlignment="1">
      <alignment vertical="top" wrapText="1"/>
    </xf>
    <xf numFmtId="0" fontId="4" fillId="5" borderId="0" xfId="3" applyFill="1" applyBorder="1"/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left"/>
    </xf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8" xfId="0" applyFill="1" applyBorder="1"/>
    <xf numFmtId="0" fontId="0" fillId="5" borderId="18" xfId="0" applyFill="1" applyBorder="1" applyAlignment="1">
      <alignment horizontal="left" vertical="top" wrapText="1"/>
    </xf>
    <xf numFmtId="0" fontId="0" fillId="0" borderId="19" xfId="0" applyFill="1" applyBorder="1"/>
    <xf numFmtId="0" fontId="8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5" fontId="12" fillId="0" borderId="15" xfId="2" applyNumberFormat="1" applyFont="1" applyFill="1" applyBorder="1" applyAlignment="1"/>
    <xf numFmtId="165" fontId="12" fillId="0" borderId="0" xfId="2" applyNumberFormat="1" applyFont="1" applyFill="1" applyBorder="1" applyAlignment="1"/>
    <xf numFmtId="165" fontId="12" fillId="0" borderId="16" xfId="2" applyNumberFormat="1" applyFont="1" applyFill="1" applyBorder="1" applyAlignment="1"/>
    <xf numFmtId="0" fontId="11" fillId="0" borderId="16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/>
    </xf>
    <xf numFmtId="165" fontId="0" fillId="0" borderId="0" xfId="2" applyNumberFormat="1" applyFont="1" applyFill="1" applyBorder="1" applyAlignment="1" applyProtection="1">
      <alignment horizontal="right"/>
      <protection locked="0"/>
    </xf>
    <xf numFmtId="10" fontId="0" fillId="0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Border="1"/>
    <xf numFmtId="0" fontId="3" fillId="4" borderId="20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center"/>
    </xf>
    <xf numFmtId="9" fontId="0" fillId="0" borderId="0" xfId="1" applyFont="1"/>
    <xf numFmtId="166" fontId="0" fillId="0" borderId="0" xfId="1" applyNumberFormat="1" applyFont="1"/>
    <xf numFmtId="2" fontId="0" fillId="0" borderId="0" xfId="2" applyNumberFormat="1" applyFont="1"/>
    <xf numFmtId="0" fontId="3" fillId="4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44" fontId="0" fillId="0" borderId="0" xfId="2" applyFont="1" applyAlignment="1">
      <alignment horizontal="left"/>
    </xf>
    <xf numFmtId="44" fontId="0" fillId="0" borderId="0" xfId="0" applyNumberFormat="1" applyAlignment="1">
      <alignment horizontal="left"/>
    </xf>
    <xf numFmtId="0" fontId="10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5" borderId="0" xfId="0" applyFill="1"/>
    <xf numFmtId="164" fontId="0" fillId="5" borderId="0" xfId="0" applyNumberFormat="1" applyFill="1"/>
    <xf numFmtId="10" fontId="0" fillId="5" borderId="0" xfId="0" applyNumberFormat="1" applyFill="1"/>
    <xf numFmtId="10" fontId="0" fillId="5" borderId="0" xfId="1" applyNumberFormat="1" applyFont="1" applyFill="1"/>
    <xf numFmtId="6" fontId="0" fillId="5" borderId="0" xfId="0" applyNumberFormat="1" applyFill="1"/>
    <xf numFmtId="164" fontId="0" fillId="5" borderId="11" xfId="0" applyNumberFormat="1" applyFont="1" applyFill="1" applyBorder="1"/>
    <xf numFmtId="8" fontId="0" fillId="5" borderId="0" xfId="0" applyNumberFormat="1" applyFill="1"/>
    <xf numFmtId="165" fontId="2" fillId="0" borderId="0" xfId="2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7" fontId="0" fillId="0" borderId="0" xfId="1" applyNumberFormat="1" applyFont="1" applyFill="1" applyBorder="1" applyAlignment="1">
      <alignment horizontal="right"/>
    </xf>
    <xf numFmtId="0" fontId="2" fillId="0" borderId="0" xfId="0" applyFont="1" applyFill="1" applyBorder="1" applyAlignment="1"/>
    <xf numFmtId="10" fontId="0" fillId="0" borderId="0" xfId="0" applyNumberFormat="1" applyFill="1" applyBorder="1" applyAlignment="1" applyProtection="1">
      <alignment horizontal="center"/>
      <protection locked="0"/>
    </xf>
    <xf numFmtId="165" fontId="2" fillId="0" borderId="0" xfId="2" applyNumberFormat="1" applyFont="1" applyFill="1" applyBorder="1" applyAlignment="1" applyProtection="1">
      <alignment horizontal="right"/>
    </xf>
    <xf numFmtId="0" fontId="0" fillId="0" borderId="0" xfId="0" applyFill="1" applyBorder="1" applyAlignment="1">
      <alignment vertical="top"/>
    </xf>
    <xf numFmtId="0" fontId="5" fillId="5" borderId="0" xfId="0" applyFont="1" applyFill="1" applyBorder="1"/>
    <xf numFmtId="1" fontId="5" fillId="5" borderId="0" xfId="0" applyNumberFormat="1" applyFont="1" applyFill="1" applyBorder="1" applyProtection="1">
      <protection hidden="1"/>
    </xf>
    <xf numFmtId="43" fontId="16" fillId="0" borderId="0" xfId="4" applyFont="1" applyFill="1" applyBorder="1"/>
    <xf numFmtId="165" fontId="0" fillId="5" borderId="0" xfId="0" applyNumberForma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165" fontId="5" fillId="6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12" fillId="0" borderId="0" xfId="1" applyNumberFormat="1" applyFont="1" applyFill="1" applyBorder="1" applyAlignment="1">
      <alignment horizontal="center" vertical="top"/>
    </xf>
    <xf numFmtId="165" fontId="0" fillId="5" borderId="0" xfId="2" applyNumberFormat="1" applyFont="1" applyFill="1" applyBorder="1" applyAlignment="1">
      <alignment horizontal="center"/>
    </xf>
    <xf numFmtId="165" fontId="5" fillId="6" borderId="0" xfId="2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6" borderId="0" xfId="0" applyFont="1" applyFill="1" applyBorder="1" applyAlignment="1">
      <alignment horizontal="center" vertical="top" wrapText="1"/>
    </xf>
    <xf numFmtId="165" fontId="12" fillId="0" borderId="21" xfId="2" applyNumberFormat="1" applyFont="1" applyFill="1" applyBorder="1" applyAlignment="1">
      <alignment horizontal="center"/>
    </xf>
    <xf numFmtId="165" fontId="12" fillId="0" borderId="22" xfId="2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10" fontId="12" fillId="0" borderId="0" xfId="1" applyNumberFormat="1" applyFont="1" applyFill="1" applyBorder="1" applyAlignment="1">
      <alignment horizontal="center" vertical="top"/>
    </xf>
    <xf numFmtId="168" fontId="17" fillId="0" borderId="0" xfId="0" applyNumberFormat="1" applyFont="1" applyFill="1" applyBorder="1" applyAlignment="1">
      <alignment horizontal="center"/>
    </xf>
  </cellXfs>
  <cellStyles count="5">
    <cellStyle name="Hyperlink" xfId="3" builtinId="8"/>
    <cellStyle name="Komma" xfId="4" builtinId="3"/>
    <cellStyle name="Procent" xfId="1" builtinId="5"/>
    <cellStyle name="Standaard" xfId="0" builtinId="0"/>
    <cellStyle name="Valuta" xfId="2" builtinId="4"/>
  </cellStyles>
  <dxfs count="10">
    <dxf>
      <numFmt numFmtId="164" formatCode="&quot;€&quot;\ #,##0.00"/>
      <fill>
        <patternFill patternType="none">
          <bgColor auto="1"/>
        </patternFill>
      </fill>
    </dxf>
    <dxf>
      <numFmt numFmtId="164" formatCode="&quot;€&quot;\ #,##0.00"/>
      <fill>
        <patternFill patternType="none">
          <bgColor auto="1"/>
        </patternFill>
      </fill>
    </dxf>
    <dxf>
      <numFmt numFmtId="164" formatCode="&quot;€&quot;\ #,##0.00"/>
      <fill>
        <patternFill patternType="none">
          <bgColor auto="1"/>
        </patternFill>
      </fill>
    </dxf>
    <dxf>
      <numFmt numFmtId="14" formatCode="0.00%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none">
          <bgColor auto="1"/>
        </patternFill>
      </fill>
    </dxf>
    <dxf>
      <numFmt numFmtId="14" formatCode="0.00%"/>
      <fill>
        <patternFill patternType="none">
          <bgColor auto="1"/>
        </patternFill>
      </fill>
    </dxf>
    <dxf>
      <numFmt numFmtId="12" formatCode="&quot;€&quot;\ #,##0.00;[Red]&quot;€&quot;\ \-#,##0.00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C38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10"/>
          <c:order val="0"/>
          <c:tx>
            <c:strRef>
              <c:f>Betalingstabel!$K$10</c:f>
              <c:strCache>
                <c:ptCount val="1"/>
                <c:pt idx="0">
                  <c:v>Rentelast zonder automatische afslag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val>
            <c:numRef>
              <c:f>Betalingstabel!$AQ$11:$AQ$371</c:f>
              <c:numCache>
                <c:formatCode>"€"\ #,##0.00</c:formatCode>
                <c:ptCount val="361"/>
                <c:pt idx="0">
                  <c:v>446.66666666666669</c:v>
                </c:pt>
                <c:pt idx="1">
                  <c:v>445.8572638404662</c:v>
                </c:pt>
                <c:pt idx="2">
                  <c:v>445.04605334795377</c:v>
                </c:pt>
                <c:pt idx="3">
                  <c:v>444.23303115200815</c:v>
                </c:pt>
                <c:pt idx="4">
                  <c:v>443.41819320649148</c:v>
                </c:pt>
                <c:pt idx="5">
                  <c:v>442.60153545623001</c:v>
                </c:pt>
                <c:pt idx="6">
                  <c:v>441.78305383699279</c:v>
                </c:pt>
                <c:pt idx="7">
                  <c:v>440.96274427547263</c:v>
                </c:pt>
                <c:pt idx="8">
                  <c:v>440.14060268926505</c:v>
                </c:pt>
                <c:pt idx="9">
                  <c:v>439.31662498684835</c:v>
                </c:pt>
                <c:pt idx="10">
                  <c:v>438.49080706756286</c:v>
                </c:pt>
                <c:pt idx="11">
                  <c:v>437.663144821591</c:v>
                </c:pt>
                <c:pt idx="12">
                  <c:v>436.8336341299364</c:v>
                </c:pt>
                <c:pt idx="13">
                  <c:v>436.00227086440378</c:v>
                </c:pt>
                <c:pt idx="14">
                  <c:v>435.16905088757829</c:v>
                </c:pt>
                <c:pt idx="15">
                  <c:v>434.33397005280443</c:v>
                </c:pt>
                <c:pt idx="16">
                  <c:v>433.49702420416617</c:v>
                </c:pt>
                <c:pt idx="17">
                  <c:v>432.65820917646607</c:v>
                </c:pt>
                <c:pt idx="18">
                  <c:v>431.81752079520408</c:v>
                </c:pt>
                <c:pt idx="19">
                  <c:v>430.97495487655732</c:v>
                </c:pt>
                <c:pt idx="20">
                  <c:v>430.13050722735881</c:v>
                </c:pt>
                <c:pt idx="21">
                  <c:v>429.28417364507715</c:v>
                </c:pt>
                <c:pt idx="22">
                  <c:v>428.43594991779509</c:v>
                </c:pt>
                <c:pt idx="23">
                  <c:v>427.58583182418869</c:v>
                </c:pt>
                <c:pt idx="24">
                  <c:v>426.7338151335066</c:v>
                </c:pt>
                <c:pt idx="25">
                  <c:v>425.87989560554865</c:v>
                </c:pt>
                <c:pt idx="26">
                  <c:v>425.02406899064499</c:v>
                </c:pt>
                <c:pt idx="27">
                  <c:v>424.16633102963465</c:v>
                </c:pt>
                <c:pt idx="28">
                  <c:v>423.30667745384477</c:v>
                </c:pt>
                <c:pt idx="29">
                  <c:v>422.44510398506895</c:v>
                </c:pt>
                <c:pt idx="30">
                  <c:v>421.58160633554621</c:v>
                </c:pt>
                <c:pt idx="31">
                  <c:v>420.71618020793949</c:v>
                </c:pt>
                <c:pt idx="32">
                  <c:v>419.84882129531439</c:v>
                </c:pt>
                <c:pt idx="33">
                  <c:v>418.9795252811179</c:v>
                </c:pt>
                <c:pt idx="34">
                  <c:v>418.10828783915622</c:v>
                </c:pt>
                <c:pt idx="35">
                  <c:v>417.23510463357428</c:v>
                </c:pt>
                <c:pt idx="36">
                  <c:v>416.35997131883317</c:v>
                </c:pt>
                <c:pt idx="37">
                  <c:v>415.48288353968911</c:v>
                </c:pt>
                <c:pt idx="38">
                  <c:v>414.6038369311716</c:v>
                </c:pt>
                <c:pt idx="39">
                  <c:v>413.72282711856178</c:v>
                </c:pt>
                <c:pt idx="40">
                  <c:v>412.8398497173705</c:v>
                </c:pt>
                <c:pt idx="41">
                  <c:v>411.95490033331657</c:v>
                </c:pt>
                <c:pt idx="42">
                  <c:v>411.06797456230493</c:v>
                </c:pt>
                <c:pt idx="43">
                  <c:v>410.17906799040458</c:v>
                </c:pt>
                <c:pt idx="44">
                  <c:v>409.28817619382716</c:v>
                </c:pt>
                <c:pt idx="45">
                  <c:v>408.39529473890389</c:v>
                </c:pt>
                <c:pt idx="46">
                  <c:v>407.50041918206466</c:v>
                </c:pt>
                <c:pt idx="47">
                  <c:v>406.6035450698152</c:v>
                </c:pt>
                <c:pt idx="48">
                  <c:v>405.70466793871498</c:v>
                </c:pt>
                <c:pt idx="49">
                  <c:v>404.80378331535536</c:v>
                </c:pt>
                <c:pt idx="50">
                  <c:v>403.90088671633686</c:v>
                </c:pt>
                <c:pt idx="51">
                  <c:v>402.99597364824734</c:v>
                </c:pt>
                <c:pt idx="52">
                  <c:v>402.08903960763888</c:v>
                </c:pt>
                <c:pt idx="53">
                  <c:v>401.18008008100657</c:v>
                </c:pt>
                <c:pt idx="54">
                  <c:v>400.26909054476465</c:v>
                </c:pt>
                <c:pt idx="55">
                  <c:v>399.3560664652253</c:v>
                </c:pt>
                <c:pt idx="56">
                  <c:v>398.4410032985748</c:v>
                </c:pt>
                <c:pt idx="57">
                  <c:v>397.52389649085222</c:v>
                </c:pt>
                <c:pt idx="58">
                  <c:v>396.60474147792576</c:v>
                </c:pt>
                <c:pt idx="59">
                  <c:v>395.68353368547037</c:v>
                </c:pt>
                <c:pt idx="60">
                  <c:v>394.76026852894512</c:v>
                </c:pt>
                <c:pt idx="61">
                  <c:v>393.83494141357033</c:v>
                </c:pt>
                <c:pt idx="62">
                  <c:v>392.90754773430461</c:v>
                </c:pt>
                <c:pt idx="63">
                  <c:v>391.97808287582171</c:v>
                </c:pt>
                <c:pt idx="64">
                  <c:v>391.0465422124883</c:v>
                </c:pt>
                <c:pt idx="65">
                  <c:v>390.11292110834012</c:v>
                </c:pt>
                <c:pt idx="66">
                  <c:v>389.1772149170593</c:v>
                </c:pt>
                <c:pt idx="67">
                  <c:v>388.2394189819513</c:v>
                </c:pt>
                <c:pt idx="68">
                  <c:v>387.29952863592149</c:v>
                </c:pt>
                <c:pt idx="69">
                  <c:v>386.35753920145231</c:v>
                </c:pt>
                <c:pt idx="70">
                  <c:v>385.41344599057942</c:v>
                </c:pt>
                <c:pt idx="71">
                  <c:v>384.46724430486898</c:v>
                </c:pt>
                <c:pt idx="72">
                  <c:v>383.51892943539377</c:v>
                </c:pt>
                <c:pt idx="73">
                  <c:v>382.56849666271</c:v>
                </c:pt>
                <c:pt idx="74">
                  <c:v>381.61594125683399</c:v>
                </c:pt>
                <c:pt idx="75">
                  <c:v>380.6612584772181</c:v>
                </c:pt>
                <c:pt idx="76">
                  <c:v>379.70444357272783</c:v>
                </c:pt>
                <c:pt idx="77">
                  <c:v>378.74549178161743</c:v>
                </c:pt>
                <c:pt idx="78">
                  <c:v>377.78439833150696</c:v>
                </c:pt>
                <c:pt idx="79">
                  <c:v>376.82115843935793</c:v>
                </c:pt>
                <c:pt idx="80">
                  <c:v>375.85576731144971</c:v>
                </c:pt>
                <c:pt idx="81">
                  <c:v>374.88822014335591</c:v>
                </c:pt>
                <c:pt idx="82">
                  <c:v>373.91851211991997</c:v>
                </c:pt>
                <c:pt idx="83">
                  <c:v>372.94663841523169</c:v>
                </c:pt>
                <c:pt idx="84">
                  <c:v>371.97259419260303</c:v>
                </c:pt>
                <c:pt idx="85">
                  <c:v>370.99637460454369</c:v>
                </c:pt>
                <c:pt idx="86">
                  <c:v>370.01797479273773</c:v>
                </c:pt>
                <c:pt idx="87">
                  <c:v>369.03738988801882</c:v>
                </c:pt>
                <c:pt idx="88">
                  <c:v>368.05461501034591</c:v>
                </c:pt>
                <c:pt idx="89">
                  <c:v>367.0696452687796</c:v>
                </c:pt>
                <c:pt idx="90">
                  <c:v>366.08247576145709</c:v>
                </c:pt>
                <c:pt idx="91">
                  <c:v>365.09310157556826</c:v>
                </c:pt>
                <c:pt idx="92">
                  <c:v>364.10151778733098</c:v>
                </c:pt>
                <c:pt idx="93">
                  <c:v>363.10771946196655</c:v>
                </c:pt>
                <c:pt idx="94">
                  <c:v>362.11170165367554</c:v>
                </c:pt>
                <c:pt idx="95">
                  <c:v>361.11345940561273</c:v>
                </c:pt>
                <c:pt idx="96">
                  <c:v>360.11298774986244</c:v>
                </c:pt>
                <c:pt idx="97">
                  <c:v>359.11028170741434</c:v>
                </c:pt>
                <c:pt idx="98">
                  <c:v>358.10533628813818</c:v>
                </c:pt>
                <c:pt idx="99">
                  <c:v>357.09814649075889</c:v>
                </c:pt>
                <c:pt idx="100">
                  <c:v>356.08870730283212</c:v>
                </c:pt>
                <c:pt idx="101">
                  <c:v>355.07701370071908</c:v>
                </c:pt>
                <c:pt idx="102">
                  <c:v>354.06306064956124</c:v>
                </c:pt>
                <c:pt idx="103">
                  <c:v>353.04684310325575</c:v>
                </c:pt>
                <c:pt idx="104">
                  <c:v>352.02835600443024</c:v>
                </c:pt>
                <c:pt idx="105">
                  <c:v>351.00759428441739</c:v>
                </c:pt>
                <c:pt idx="106">
                  <c:v>349.98455286322991</c:v>
                </c:pt>
                <c:pt idx="107">
                  <c:v>348.95922664953497</c:v>
                </c:pt>
                <c:pt idx="108">
                  <c:v>347.93161054062949</c:v>
                </c:pt>
                <c:pt idx="109">
                  <c:v>346.90169942241414</c:v>
                </c:pt>
                <c:pt idx="110">
                  <c:v>345.86948816936814</c:v>
                </c:pt>
                <c:pt idx="111">
                  <c:v>344.83497164452365</c:v>
                </c:pt>
                <c:pt idx="112">
                  <c:v>343.79814469944034</c:v>
                </c:pt>
                <c:pt idx="113">
                  <c:v>342.75900217417967</c:v>
                </c:pt>
                <c:pt idx="114">
                  <c:v>341.71753889727921</c:v>
                </c:pt>
                <c:pt idx="115">
                  <c:v>340.6737496857271</c:v>
                </c:pt>
                <c:pt idx="116">
                  <c:v>339.62762934493577</c:v>
                </c:pt>
                <c:pt idx="117">
                  <c:v>338.57917266871669</c:v>
                </c:pt>
                <c:pt idx="118">
                  <c:v>337.52837443925404</c:v>
                </c:pt>
                <c:pt idx="119">
                  <c:v>336.47522942707894</c:v>
                </c:pt>
                <c:pt idx="120">
                  <c:v>335.41973239104328</c:v>
                </c:pt>
                <c:pt idx="121">
                  <c:v>334.36187807829384</c:v>
                </c:pt>
                <c:pt idx="122">
                  <c:v>333.301661224246</c:v>
                </c:pt>
                <c:pt idx="123">
                  <c:v>332.23907655255738</c:v>
                </c:pt>
                <c:pt idx="124">
                  <c:v>331.17411877510199</c:v>
                </c:pt>
                <c:pt idx="125">
                  <c:v>330.10678259194361</c:v>
                </c:pt>
                <c:pt idx="126">
                  <c:v>329.03706269130959</c:v>
                </c:pt>
                <c:pt idx="127">
                  <c:v>327.96495374956407</c:v>
                </c:pt>
                <c:pt idx="128">
                  <c:v>326.89045043118199</c:v>
                </c:pt>
                <c:pt idx="129">
                  <c:v>325.81354738872216</c:v>
                </c:pt>
                <c:pt idx="130">
                  <c:v>324.73423926280094</c:v>
                </c:pt>
                <c:pt idx="131">
                  <c:v>323.65252068206513</c:v>
                </c:pt>
                <c:pt idx="132">
                  <c:v>322.56838626316568</c:v>
                </c:pt>
                <c:pt idx="133">
                  <c:v>321.48183061073064</c:v>
                </c:pt>
                <c:pt idx="134">
                  <c:v>320.39284831733852</c:v>
                </c:pt>
                <c:pt idx="135">
                  <c:v>319.30143396349115</c:v>
                </c:pt>
                <c:pt idx="136">
                  <c:v>318.20758211758687</c:v>
                </c:pt>
                <c:pt idx="137">
                  <c:v>317.11128733589334</c:v>
                </c:pt>
                <c:pt idx="138">
                  <c:v>316.01254416252073</c:v>
                </c:pt>
                <c:pt idx="139">
                  <c:v>314.91134712939424</c:v>
                </c:pt>
                <c:pt idx="140">
                  <c:v>313.80769075622715</c:v>
                </c:pt>
                <c:pt idx="141">
                  <c:v>312.70156955049328</c:v>
                </c:pt>
                <c:pt idx="142">
                  <c:v>311.59297800739995</c:v>
                </c:pt>
                <c:pt idx="143">
                  <c:v>310.48191060986034</c:v>
                </c:pt>
                <c:pt idx="144">
                  <c:v>309.36836182846628</c:v>
                </c:pt>
                <c:pt idx="145">
                  <c:v>308.25232612146038</c:v>
                </c:pt>
                <c:pt idx="146">
                  <c:v>307.13379793470892</c:v>
                </c:pt>
                <c:pt idx="147">
                  <c:v>306.01277170167367</c:v>
                </c:pt>
                <c:pt idx="148">
                  <c:v>304.88924184338464</c:v>
                </c:pt>
                <c:pt idx="149">
                  <c:v>303.7632027684121</c:v>
                </c:pt>
                <c:pt idx="150">
                  <c:v>302.6346488728388</c:v>
                </c:pt>
                <c:pt idx="151">
                  <c:v>301.50357454023214</c:v>
                </c:pt>
                <c:pt idx="152">
                  <c:v>300.36997414161584</c:v>
                </c:pt>
                <c:pt idx="153">
                  <c:v>299.23384203544271</c:v>
                </c:pt>
                <c:pt idx="154">
                  <c:v>298.09517256756573</c:v>
                </c:pt>
                <c:pt idx="155">
                  <c:v>296.95396007121053</c:v>
                </c:pt>
                <c:pt idx="156">
                  <c:v>295.81019886694685</c:v>
                </c:pt>
                <c:pt idx="157">
                  <c:v>294.66388326266031</c:v>
                </c:pt>
                <c:pt idx="158">
                  <c:v>293.51500755352413</c:v>
                </c:pt>
                <c:pt idx="159">
                  <c:v>292.36356602197094</c:v>
                </c:pt>
                <c:pt idx="160">
                  <c:v>291.20955293766389</c:v>
                </c:pt>
                <c:pt idx="161">
                  <c:v>290.05296255746856</c:v>
                </c:pt>
                <c:pt idx="162">
                  <c:v>288.89378912542412</c:v>
                </c:pt>
                <c:pt idx="163">
                  <c:v>287.73202687271481</c:v>
                </c:pt>
                <c:pt idx="164">
                  <c:v>286.56767001764115</c:v>
                </c:pt>
                <c:pt idx="165">
                  <c:v>285.40071276559109</c:v>
                </c:pt>
                <c:pt idx="166">
                  <c:v>284.23114930901153</c:v>
                </c:pt>
                <c:pt idx="167">
                  <c:v>283.05897382737891</c:v>
                </c:pt>
                <c:pt idx="168">
                  <c:v>281.88418048717057</c:v>
                </c:pt>
                <c:pt idx="169">
                  <c:v>280.70676344183585</c:v>
                </c:pt>
                <c:pt idx="170">
                  <c:v>279.52671683176652</c:v>
                </c:pt>
                <c:pt idx="171">
                  <c:v>278.3440347842681</c:v>
                </c:pt>
                <c:pt idx="172">
                  <c:v>277.15871141353017</c:v>
                </c:pt>
                <c:pt idx="173">
                  <c:v>275.9707408205976</c:v>
                </c:pt>
                <c:pt idx="174">
                  <c:v>274.78011709334083</c:v>
                </c:pt>
                <c:pt idx="175">
                  <c:v>273.58683430642657</c:v>
                </c:pt>
                <c:pt idx="176">
                  <c:v>272.39088652128817</c:v>
                </c:pt>
                <c:pt idx="177">
                  <c:v>271.19226778609629</c:v>
                </c:pt>
                <c:pt idx="178">
                  <c:v>269.99097213572912</c:v>
                </c:pt>
                <c:pt idx="179">
                  <c:v>268.78699359174283</c:v>
                </c:pt>
                <c:pt idx="180">
                  <c:v>267.58032616234169</c:v>
                </c:pt>
                <c:pt idx="181">
                  <c:v>266.37096384234815</c:v>
                </c:pt>
                <c:pt idx="182">
                  <c:v>265.15890061317333</c:v>
                </c:pt>
                <c:pt idx="183">
                  <c:v>263.94413044278662</c:v>
                </c:pt>
                <c:pt idx="184">
                  <c:v>262.72664728568606</c:v>
                </c:pt>
                <c:pt idx="185">
                  <c:v>261.50644508286803</c:v>
                </c:pt>
                <c:pt idx="186">
                  <c:v>260.28351776179699</c:v>
                </c:pt>
                <c:pt idx="187">
                  <c:v>259.05785923637558</c:v>
                </c:pt>
                <c:pt idx="188">
                  <c:v>257.8294634069141</c:v>
                </c:pt>
                <c:pt idx="189">
                  <c:v>256.59832416010011</c:v>
                </c:pt>
                <c:pt idx="190">
                  <c:v>255.36443536896823</c:v>
                </c:pt>
                <c:pt idx="191">
                  <c:v>254.12779089286948</c:v>
                </c:pt>
                <c:pt idx="192">
                  <c:v>252.8883845774408</c:v>
                </c:pt>
                <c:pt idx="193">
                  <c:v>251.64621025457436</c:v>
                </c:pt>
                <c:pt idx="194">
                  <c:v>250.40126174238677</c:v>
                </c:pt>
                <c:pt idx="195">
                  <c:v>249.15353284518869</c:v>
                </c:pt>
                <c:pt idx="196">
                  <c:v>247.90301735345352</c:v>
                </c:pt>
                <c:pt idx="197">
                  <c:v>246.64970904378677</c:v>
                </c:pt>
                <c:pt idx="198">
                  <c:v>245.39360167889515</c:v>
                </c:pt>
                <c:pt idx="199">
                  <c:v>244.13468900755527</c:v>
                </c:pt>
                <c:pt idx="200">
                  <c:v>242.87296476458275</c:v>
                </c:pt>
                <c:pt idx="201">
                  <c:v>241.60842267080088</c:v>
                </c:pt>
                <c:pt idx="202">
                  <c:v>240.34105643300958</c:v>
                </c:pt>
                <c:pt idx="203">
                  <c:v>239.07085974395386</c:v>
                </c:pt>
                <c:pt idx="204">
                  <c:v>237.79782628229259</c:v>
                </c:pt>
                <c:pt idx="205">
                  <c:v>236.52194971256696</c:v>
                </c:pt>
                <c:pt idx="206">
                  <c:v>235.24322368516894</c:v>
                </c:pt>
                <c:pt idx="207">
                  <c:v>233.96164183630972</c:v>
                </c:pt>
                <c:pt idx="208">
                  <c:v>232.67719778798804</c:v>
                </c:pt>
                <c:pt idx="209">
                  <c:v>231.38988514795847</c:v>
                </c:pt>
                <c:pt idx="210">
                  <c:v>230.09969750969947</c:v>
                </c:pt>
                <c:pt idx="211">
                  <c:v>228.80662845238172</c:v>
                </c:pt>
                <c:pt idx="212">
                  <c:v>227.51067154083594</c:v>
                </c:pt>
                <c:pt idx="213">
                  <c:v>226.21182032552107</c:v>
                </c:pt>
                <c:pt idx="214">
                  <c:v>224.91006834249197</c:v>
                </c:pt>
                <c:pt idx="215">
                  <c:v>223.60540911336747</c:v>
                </c:pt>
                <c:pt idx="216">
                  <c:v>222.29783614529788</c:v>
                </c:pt>
                <c:pt idx="217">
                  <c:v>220.98734293093295</c:v>
                </c:pt>
                <c:pt idx="218">
                  <c:v>219.67392294838928</c:v>
                </c:pt>
                <c:pt idx="219">
                  <c:v>218.35756966121789</c:v>
                </c:pt>
                <c:pt idx="220">
                  <c:v>217.03827651837184</c:v>
                </c:pt>
                <c:pt idx="221">
                  <c:v>215.71603695417343</c:v>
                </c:pt>
                <c:pt idx="222">
                  <c:v>214.39084438828169</c:v>
                </c:pt>
                <c:pt idx="223">
                  <c:v>213.06269222565939</c:v>
                </c:pt>
                <c:pt idx="224">
                  <c:v>211.73157385654062</c:v>
                </c:pt>
                <c:pt idx="225">
                  <c:v>210.39748265639744</c:v>
                </c:pt>
                <c:pt idx="226">
                  <c:v>209.06041198590734</c:v>
                </c:pt>
                <c:pt idx="227">
                  <c:v>207.72035519091978</c:v>
                </c:pt>
                <c:pt idx="228">
                  <c:v>206.37730560242343</c:v>
                </c:pt>
                <c:pt idx="229">
                  <c:v>205.03125653651276</c:v>
                </c:pt>
                <c:pt idx="230">
                  <c:v>203.68220129435485</c:v>
                </c:pt>
                <c:pt idx="231">
                  <c:v>202.33013316215616</c:v>
                </c:pt>
                <c:pt idx="232">
                  <c:v>200.97504541112889</c:v>
                </c:pt>
                <c:pt idx="233">
                  <c:v>199.61693129745765</c:v>
                </c:pt>
                <c:pt idx="234">
                  <c:v>198.25578406226589</c:v>
                </c:pt>
                <c:pt idx="235">
                  <c:v>196.89159693158217</c:v>
                </c:pt>
                <c:pt idx="236">
                  <c:v>195.5243631163066</c:v>
                </c:pt>
                <c:pt idx="237">
                  <c:v>194.15407581217696</c:v>
                </c:pt>
                <c:pt idx="238">
                  <c:v>192.78072819973474</c:v>
                </c:pt>
                <c:pt idx="239">
                  <c:v>191.40431344429135</c:v>
                </c:pt>
                <c:pt idx="240">
                  <c:v>190.02482469589418</c:v>
                </c:pt>
                <c:pt idx="241">
                  <c:v>188.64225508929223</c:v>
                </c:pt>
                <c:pt idx="242">
                  <c:v>187.25659774390226</c:v>
                </c:pt>
                <c:pt idx="243">
                  <c:v>185.8678457637742</c:v>
                </c:pt>
                <c:pt idx="244">
                  <c:v>184.47599223755722</c:v>
                </c:pt>
                <c:pt idx="245">
                  <c:v>183.08103023846502</c:v>
                </c:pt>
                <c:pt idx="246">
                  <c:v>181.68295282424151</c:v>
                </c:pt>
                <c:pt idx="247">
                  <c:v>180.28175303712624</c:v>
                </c:pt>
                <c:pt idx="248">
                  <c:v>178.87742390381973</c:v>
                </c:pt>
                <c:pt idx="249">
                  <c:v>177.46995843544883</c:v>
                </c:pt>
                <c:pt idx="250">
                  <c:v>176.0593496275319</c:v>
                </c:pt>
                <c:pt idx="251">
                  <c:v>174.64559045994397</c:v>
                </c:pt>
                <c:pt idx="252">
                  <c:v>173.22867389688176</c:v>
                </c:pt>
                <c:pt idx="253">
                  <c:v>171.80859288682871</c:v>
                </c:pt>
                <c:pt idx="254">
                  <c:v>170.38534036251986</c:v>
                </c:pt>
                <c:pt idx="255">
                  <c:v>168.95890924090673</c:v>
                </c:pt>
                <c:pt idx="256">
                  <c:v>167.529292423122</c:v>
                </c:pt>
                <c:pt idx="257">
                  <c:v>166.0964827944442</c:v>
                </c:pt>
                <c:pt idx="258">
                  <c:v>164.6604732242624</c:v>
                </c:pt>
                <c:pt idx="259">
                  <c:v>163.22125656604047</c:v>
                </c:pt>
                <c:pt idx="260">
                  <c:v>161.77882565728189</c:v>
                </c:pt>
                <c:pt idx="261">
                  <c:v>160.33317331949368</c:v>
                </c:pt>
                <c:pt idx="262">
                  <c:v>158.88429235815113</c:v>
                </c:pt>
                <c:pt idx="263">
                  <c:v>157.43217556266157</c:v>
                </c:pt>
                <c:pt idx="264">
                  <c:v>155.97681570632875</c:v>
                </c:pt>
                <c:pt idx="265">
                  <c:v>154.51820554631681</c:v>
                </c:pt>
                <c:pt idx="266">
                  <c:v>153.05633782361414</c:v>
                </c:pt>
                <c:pt idx="267">
                  <c:v>151.59120526299748</c:v>
                </c:pt>
                <c:pt idx="268">
                  <c:v>150.12280057299537</c:v>
                </c:pt>
                <c:pt idx="269">
                  <c:v>148.65111644585235</c:v>
                </c:pt>
                <c:pt idx="270">
                  <c:v>147.17614555749199</c:v>
                </c:pt>
                <c:pt idx="271">
                  <c:v>145.69788056748095</c:v>
                </c:pt>
                <c:pt idx="272">
                  <c:v>144.21631411899224</c:v>
                </c:pt>
                <c:pt idx="273">
                  <c:v>142.73143883876855</c:v>
                </c:pt>
                <c:pt idx="274">
                  <c:v>141.24324733708571</c:v>
                </c:pt>
                <c:pt idx="275">
                  <c:v>139.75173220771578</c:v>
                </c:pt>
                <c:pt idx="276">
                  <c:v>138.25688602789026</c:v>
                </c:pt>
                <c:pt idx="277">
                  <c:v>136.75870135826312</c:v>
                </c:pt>
                <c:pt idx="278">
                  <c:v>135.2571707428738</c:v>
                </c:pt>
                <c:pt idx="279">
                  <c:v>133.75228670911011</c:v>
                </c:pt>
                <c:pt idx="280">
                  <c:v>132.24404176767106</c:v>
                </c:pt>
                <c:pt idx="281">
                  <c:v>130.7324284125294</c:v>
                </c:pt>
                <c:pt idx="282">
                  <c:v>129.21743912089462</c:v>
                </c:pt>
                <c:pt idx="283">
                  <c:v>127.69906635317521</c:v>
                </c:pt>
                <c:pt idx="284">
                  <c:v>126.17730255294121</c:v>
                </c:pt>
                <c:pt idx="285">
                  <c:v>124.65214014688668</c:v>
                </c:pt>
                <c:pt idx="286">
                  <c:v>123.12357154479197</c:v>
                </c:pt>
                <c:pt idx="287">
                  <c:v>121.5915891394859</c:v>
                </c:pt>
                <c:pt idx="288">
                  <c:v>120.056185306808</c:v>
                </c:pt>
                <c:pt idx="289">
                  <c:v>118.51735240557043</c:v>
                </c:pt>
                <c:pt idx="290">
                  <c:v>116.97508277752013</c:v>
                </c:pt>
                <c:pt idx="291">
                  <c:v>115.42936874730049</c:v>
                </c:pt>
                <c:pt idx="292">
                  <c:v>113.88020262241338</c:v>
                </c:pt>
                <c:pt idx="293">
                  <c:v>112.32757669318067</c:v>
                </c:pt>
                <c:pt idx="294">
                  <c:v>110.77148323270603</c:v>
                </c:pt>
                <c:pt idx="295">
                  <c:v>109.21191449683631</c:v>
                </c:pt>
                <c:pt idx="296">
                  <c:v>107.64886272412315</c:v>
                </c:pt>
                <c:pt idx="297">
                  <c:v>106.08232013578426</c:v>
                </c:pt>
                <c:pt idx="298">
                  <c:v>104.51227893566477</c:v>
                </c:pt>
                <c:pt idx="299">
                  <c:v>102.93873131019831</c:v>
                </c:pt>
                <c:pt idx="300">
                  <c:v>101.36166942836832</c:v>
                </c:pt>
                <c:pt idx="301">
                  <c:v>99.781085441668935</c:v>
                </c:pt>
                <c:pt idx="302">
                  <c:v>98.196971484065898</c:v>
                </c:pt>
                <c:pt idx="303">
                  <c:v>96.60931967195755</c:v>
                </c:pt>
                <c:pt idx="304">
                  <c:v>95.0181221041355</c:v>
                </c:pt>
                <c:pt idx="305">
                  <c:v>93.423370861745298</c:v>
                </c:pt>
                <c:pt idx="306">
                  <c:v>91.825058008247126</c:v>
                </c:pt>
                <c:pt idx="307">
                  <c:v>90.223175589376112</c:v>
                </c:pt>
                <c:pt idx="308">
                  <c:v>88.617715633102947</c:v>
                </c:pt>
                <c:pt idx="309">
                  <c:v>87.008670149594124</c:v>
                </c:pt>
                <c:pt idx="310">
                  <c:v>85.396031131172109</c:v>
                </c:pt>
                <c:pt idx="311">
                  <c:v>83.779790552275657</c:v>
                </c:pt>
                <c:pt idx="312">
                  <c:v>82.159940369419644</c:v>
                </c:pt>
                <c:pt idx="313">
                  <c:v>80.536472521155261</c:v>
                </c:pt>
                <c:pt idx="314">
                  <c:v>78.909378928029739</c:v>
                </c:pt>
                <c:pt idx="315">
                  <c:v>77.278651492546246</c:v>
                </c:pt>
                <c:pt idx="316">
                  <c:v>75.644282099123515</c:v>
                </c:pt>
                <c:pt idx="317">
                  <c:v>74.006262614055458</c:v>
                </c:pt>
                <c:pt idx="318">
                  <c:v>72.364584885470762</c:v>
                </c:pt>
                <c:pt idx="319">
                  <c:v>70.719240743292218</c:v>
                </c:pt>
                <c:pt idx="320">
                  <c:v>69.070221999196136</c:v>
                </c:pt>
                <c:pt idx="321">
                  <c:v>67.417520446571586</c:v>
                </c:pt>
                <c:pt idx="322">
                  <c:v>65.761127860479505</c:v>
                </c:pt>
                <c:pt idx="323">
                  <c:v>64.101035997611817</c:v>
                </c:pt>
                <c:pt idx="324">
                  <c:v>62.437236596250379</c:v>
                </c:pt>
                <c:pt idx="325">
                  <c:v>60.769721376225924</c:v>
                </c:pt>
                <c:pt idx="326">
                  <c:v>59.098482038876732</c:v>
                </c:pt>
                <c:pt idx="327">
                  <c:v>57.423510267007458</c:v>
                </c:pt>
                <c:pt idx="328">
                  <c:v>55.744797724847679</c:v>
                </c:pt>
                <c:pt idx="329">
                  <c:v>54.062336058010423</c:v>
                </c:pt>
                <c:pt idx="330">
                  <c:v>52.376116893450551</c:v>
                </c:pt>
                <c:pt idx="331">
                  <c:v>50.686131839423162</c:v>
                </c:pt>
                <c:pt idx="332">
                  <c:v>48.992372485441784</c:v>
                </c:pt>
                <c:pt idx="333">
                  <c:v>47.294830402236506</c:v>
                </c:pt>
                <c:pt idx="334">
                  <c:v>45.593497141712071</c:v>
                </c:pt>
                <c:pt idx="335">
                  <c:v>43.888364236905801</c:v>
                </c:pt>
                <c:pt idx="336">
                  <c:v>42.179423201945468</c:v>
                </c:pt>
                <c:pt idx="337">
                  <c:v>40.466665532007056</c:v>
                </c:pt>
                <c:pt idx="338">
                  <c:v>38.750082703272447</c:v>
                </c:pt>
                <c:pt idx="339">
                  <c:v>37.029666172886991</c:v>
                </c:pt>
                <c:pt idx="340">
                  <c:v>35.30540737891701</c:v>
                </c:pt>
                <c:pt idx="341">
                  <c:v>33.577297740307166</c:v>
                </c:pt>
                <c:pt idx="342">
                  <c:v>31.845328656837761</c:v>
                </c:pt>
                <c:pt idx="343">
                  <c:v>30.109491509081938</c:v>
                </c:pt>
                <c:pt idx="344">
                  <c:v>28.369777658362793</c:v>
                </c:pt>
                <c:pt idx="345">
                  <c:v>26.62617844671038</c:v>
                </c:pt>
                <c:pt idx="346">
                  <c:v>24.878685196818605</c:v>
                </c:pt>
                <c:pt idx="347">
                  <c:v>23.127289212002072</c:v>
                </c:pt>
                <c:pt idx="348">
                  <c:v>21.371981776152783</c:v>
                </c:pt>
                <c:pt idx="349">
                  <c:v>19.612754153696763</c:v>
                </c:pt>
                <c:pt idx="350">
                  <c:v>17.849597589550591</c:v>
                </c:pt>
                <c:pt idx="351">
                  <c:v>16.082503309077826</c:v>
                </c:pt>
                <c:pt idx="352">
                  <c:v>14.311462518045341</c:v>
                </c:pt>
                <c:pt idx="353">
                  <c:v>12.536466402579549</c:v>
                </c:pt>
                <c:pt idx="354">
                  <c:v>10.757506129122552</c:v>
                </c:pt>
                <c:pt idx="355">
                  <c:v>8.9745728443881649</c:v>
                </c:pt>
                <c:pt idx="356">
                  <c:v>7.1876576753178725</c:v>
                </c:pt>
                <c:pt idx="357">
                  <c:v>5.3967517290366551</c:v>
                </c:pt>
                <c:pt idx="358">
                  <c:v>3.6018460928087439</c:v>
                </c:pt>
                <c:pt idx="359">
                  <c:v>1.8029318339932567</c:v>
                </c:pt>
                <c:pt idx="36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D6-4124-8AF1-DBC64C2F8D6C}"/>
            </c:ext>
          </c:extLst>
        </c:ser>
        <c:ser>
          <c:idx val="5"/>
          <c:order val="1"/>
          <c:tx>
            <c:strRef>
              <c:f>Betalingstabel!$F$10</c:f>
              <c:strCache>
                <c:ptCount val="1"/>
                <c:pt idx="0">
                  <c:v>Rentelast MUNT HYPOTHEKEN</c:v>
                </c:pt>
              </c:strCache>
            </c:strRef>
          </c:tx>
          <c:spPr>
            <a:solidFill>
              <a:srgbClr val="00C389"/>
            </a:solidFill>
            <a:ln w="25400">
              <a:noFill/>
            </a:ln>
            <a:effectLst/>
          </c:spPr>
          <c:val>
            <c:numRef>
              <c:f>Betalingstabel!$AP$11:$AP$371</c:f>
              <c:numCache>
                <c:formatCode>_ [$€-413]\ * #,##0.00_ ;_ [$€-413]\ * \-#,##0.00_ ;_ [$€-413]\ * "-"??_ ;_ @_ </c:formatCode>
                <c:ptCount val="361"/>
                <c:pt idx="0">
                  <c:v>446.66666666666669</c:v>
                </c:pt>
                <c:pt idx="1">
                  <c:v>420.90256623745501</c:v>
                </c:pt>
                <c:pt idx="2">
                  <c:v>420.1172138349321</c:v>
                </c:pt>
                <c:pt idx="3">
                  <c:v>419.33020564776052</c:v>
                </c:pt>
                <c:pt idx="4">
                  <c:v>418.54153818499435</c:v>
                </c:pt>
                <c:pt idx="5">
                  <c:v>417.75120794832748</c:v>
                </c:pt>
                <c:pt idx="6">
                  <c:v>416.95921143207835</c:v>
                </c:pt>
                <c:pt idx="7">
                  <c:v>416.16554512317413</c:v>
                </c:pt>
                <c:pt idx="8">
                  <c:v>415.37020550113533</c:v>
                </c:pt>
                <c:pt idx="9">
                  <c:v>414.57318903805998</c:v>
                </c:pt>
                <c:pt idx="10">
                  <c:v>413.77449219860836</c:v>
                </c:pt>
                <c:pt idx="11">
                  <c:v>412.97411143998693</c:v>
                </c:pt>
                <c:pt idx="12">
                  <c:v>412.1720432119327</c:v>
                </c:pt>
                <c:pt idx="13">
                  <c:v>411.36828395669767</c:v>
                </c:pt>
                <c:pt idx="14">
                  <c:v>410.5628301090328</c:v>
                </c:pt>
                <c:pt idx="15">
                  <c:v>409.75567809617252</c:v>
                </c:pt>
                <c:pt idx="16">
                  <c:v>408.94682433781844</c:v>
                </c:pt>
                <c:pt idx="17">
                  <c:v>408.13626524612386</c:v>
                </c:pt>
                <c:pt idx="18">
                  <c:v>407.32399722567749</c:v>
                </c:pt>
                <c:pt idx="19">
                  <c:v>406.51001667348811</c:v>
                </c:pt>
                <c:pt idx="20">
                  <c:v>405.69431997896783</c:v>
                </c:pt>
                <c:pt idx="21">
                  <c:v>404.87690352391672</c:v>
                </c:pt>
                <c:pt idx="22">
                  <c:v>404.05776368250605</c:v>
                </c:pt>
                <c:pt idx="23">
                  <c:v>403.2368968212632</c:v>
                </c:pt>
                <c:pt idx="24">
                  <c:v>402.41429929905456</c:v>
                </c:pt>
                <c:pt idx="25">
                  <c:v>401.58996746706981</c:v>
                </c:pt>
                <c:pt idx="26">
                  <c:v>400.76389766880601</c:v>
                </c:pt>
                <c:pt idx="27">
                  <c:v>399.93608624005088</c:v>
                </c:pt>
                <c:pt idx="28">
                  <c:v>399.1065295088668</c:v>
                </c:pt>
                <c:pt idx="29">
                  <c:v>398.2752237955745</c:v>
                </c:pt>
                <c:pt idx="30">
                  <c:v>397.44216541273659</c:v>
                </c:pt>
                <c:pt idx="31">
                  <c:v>396.60735066514161</c:v>
                </c:pt>
                <c:pt idx="32">
                  <c:v>395.77077584978707</c:v>
                </c:pt>
                <c:pt idx="33">
                  <c:v>394.93243725586353</c:v>
                </c:pt>
                <c:pt idx="34">
                  <c:v>394.0923311647378</c:v>
                </c:pt>
                <c:pt idx="35">
                  <c:v>393.25045384993655</c:v>
                </c:pt>
                <c:pt idx="36">
                  <c:v>392.40680157713001</c:v>
                </c:pt>
                <c:pt idx="37">
                  <c:v>391.56137060411493</c:v>
                </c:pt>
                <c:pt idx="38">
                  <c:v>390.7141571807984</c:v>
                </c:pt>
                <c:pt idx="39">
                  <c:v>389.86515754918111</c:v>
                </c:pt>
                <c:pt idx="40">
                  <c:v>389.01436794334046</c:v>
                </c:pt>
                <c:pt idx="41">
                  <c:v>388.16178458941414</c:v>
                </c:pt>
                <c:pt idx="42">
                  <c:v>387.30740370558328</c:v>
                </c:pt>
                <c:pt idx="43">
                  <c:v>386.45122150205572</c:v>
                </c:pt>
                <c:pt idx="44">
                  <c:v>385.59323418104901</c:v>
                </c:pt>
                <c:pt idx="45">
                  <c:v>384.7334379367739</c:v>
                </c:pt>
                <c:pt idx="46">
                  <c:v>383.87182895541702</c:v>
                </c:pt>
                <c:pt idx="47">
                  <c:v>383.00840341512452</c:v>
                </c:pt>
                <c:pt idx="48">
                  <c:v>382.14315748598455</c:v>
                </c:pt>
                <c:pt idx="49">
                  <c:v>381.27608733001063</c:v>
                </c:pt>
                <c:pt idx="50">
                  <c:v>380.40718910112463</c:v>
                </c:pt>
                <c:pt idx="51">
                  <c:v>379.53645894513926</c:v>
                </c:pt>
                <c:pt idx="52">
                  <c:v>378.66389299974179</c:v>
                </c:pt>
                <c:pt idx="53">
                  <c:v>377.789487394476</c:v>
                </c:pt>
                <c:pt idx="54">
                  <c:v>376.91323825072578</c:v>
                </c:pt>
                <c:pt idx="55">
                  <c:v>376.03514168169755</c:v>
                </c:pt>
                <c:pt idx="56">
                  <c:v>375.155193792403</c:v>
                </c:pt>
                <c:pt idx="57">
                  <c:v>374.27339067964175</c:v>
                </c:pt>
                <c:pt idx="58">
                  <c:v>373.38972843198439</c:v>
                </c:pt>
                <c:pt idx="59">
                  <c:v>372.50420312975501</c:v>
                </c:pt>
                <c:pt idx="60">
                  <c:v>371.61681084501333</c:v>
                </c:pt>
                <c:pt idx="61">
                  <c:v>370.72754764153802</c:v>
                </c:pt>
                <c:pt idx="62">
                  <c:v>369.83640957480867</c:v>
                </c:pt>
                <c:pt idx="63">
                  <c:v>368.94339269198878</c:v>
                </c:pt>
                <c:pt idx="64">
                  <c:v>368.04849303190753</c:v>
                </c:pt>
                <c:pt idx="65">
                  <c:v>367.15170662504289</c:v>
                </c:pt>
                <c:pt idx="66">
                  <c:v>366.25302949350385</c:v>
                </c:pt>
                <c:pt idx="67">
                  <c:v>365.35245765101246</c:v>
                </c:pt>
                <c:pt idx="68">
                  <c:v>364.4499871028865</c:v>
                </c:pt>
                <c:pt idx="69">
                  <c:v>363.54561384602152</c:v>
                </c:pt>
                <c:pt idx="70">
                  <c:v>362.63933386887339</c:v>
                </c:pt>
                <c:pt idx="71">
                  <c:v>361.73114315144011</c:v>
                </c:pt>
                <c:pt idx="72">
                  <c:v>360.82103766524415</c:v>
                </c:pt>
                <c:pt idx="73">
                  <c:v>359.90901337331485</c:v>
                </c:pt>
                <c:pt idx="74">
                  <c:v>358.9950662301701</c:v>
                </c:pt>
                <c:pt idx="75">
                  <c:v>358.07919218179842</c:v>
                </c:pt>
                <c:pt idx="76">
                  <c:v>357.16138716564154</c:v>
                </c:pt>
                <c:pt idx="77">
                  <c:v>356.24164711057557</c:v>
                </c:pt>
                <c:pt idx="78">
                  <c:v>355.31996793689353</c:v>
                </c:pt>
                <c:pt idx="79">
                  <c:v>354.39634555628692</c:v>
                </c:pt>
                <c:pt idx="80">
                  <c:v>353.47077587182793</c:v>
                </c:pt>
                <c:pt idx="81">
                  <c:v>352.54325477795078</c:v>
                </c:pt>
                <c:pt idx="82">
                  <c:v>351.61377816043409</c:v>
                </c:pt>
                <c:pt idx="83">
                  <c:v>350.68234189638218</c:v>
                </c:pt>
                <c:pt idx="84">
                  <c:v>349.74894185420681</c:v>
                </c:pt>
                <c:pt idx="85">
                  <c:v>348.8135738936092</c:v>
                </c:pt>
                <c:pt idx="86">
                  <c:v>347.87623386556135</c:v>
                </c:pt>
                <c:pt idx="87">
                  <c:v>346.93691761228774</c:v>
                </c:pt>
                <c:pt idx="88">
                  <c:v>345.99562096724679</c:v>
                </c:pt>
                <c:pt idx="89">
                  <c:v>345.05233975511254</c:v>
                </c:pt>
                <c:pt idx="90">
                  <c:v>344.10706979175603</c:v>
                </c:pt>
                <c:pt idx="91">
                  <c:v>343.15980688422684</c:v>
                </c:pt>
                <c:pt idx="92">
                  <c:v>342.21054683073424</c:v>
                </c:pt>
                <c:pt idx="93">
                  <c:v>341.25928542062883</c:v>
                </c:pt>
                <c:pt idx="94">
                  <c:v>340.30601843438376</c:v>
                </c:pt>
                <c:pt idx="95">
                  <c:v>339.35074164357604</c:v>
                </c:pt>
                <c:pt idx="96">
                  <c:v>338.39345081086771</c:v>
                </c:pt>
                <c:pt idx="97">
                  <c:v>337.43414168998714</c:v>
                </c:pt>
                <c:pt idx="98">
                  <c:v>336.47281002570998</c:v>
                </c:pt>
                <c:pt idx="99">
                  <c:v>335.50945155384062</c:v>
                </c:pt>
                <c:pt idx="100">
                  <c:v>334.54406200119314</c:v>
                </c:pt>
                <c:pt idx="101">
                  <c:v>333.57663708557214</c:v>
                </c:pt>
                <c:pt idx="102">
                  <c:v>332.60717251575403</c:v>
                </c:pt>
                <c:pt idx="103">
                  <c:v>331.63566399146782</c:v>
                </c:pt>
                <c:pt idx="104">
                  <c:v>330.66210720337637</c:v>
                </c:pt>
                <c:pt idx="105">
                  <c:v>329.68649783305654</c:v>
                </c:pt>
                <c:pt idx="106">
                  <c:v>328.70883155298105</c:v>
                </c:pt>
                <c:pt idx="107">
                  <c:v>327.72910402649842</c:v>
                </c:pt>
                <c:pt idx="108">
                  <c:v>326.74731090781404</c:v>
                </c:pt>
                <c:pt idx="109">
                  <c:v>325.76344784197119</c:v>
                </c:pt>
                <c:pt idx="110">
                  <c:v>324.7775104648311</c:v>
                </c:pt>
                <c:pt idx="111">
                  <c:v>323.78949440305428</c:v>
                </c:pt>
                <c:pt idx="112">
                  <c:v>322.79939527408055</c:v>
                </c:pt>
                <c:pt idx="113">
                  <c:v>321.80720868610985</c:v>
                </c:pt>
                <c:pt idx="114">
                  <c:v>320.81293023808291</c:v>
                </c:pt>
                <c:pt idx="115">
                  <c:v>319.81655551966134</c:v>
                </c:pt>
                <c:pt idx="116">
                  <c:v>318.81808011120842</c:v>
                </c:pt>
                <c:pt idx="117">
                  <c:v>317.81749958376935</c:v>
                </c:pt>
                <c:pt idx="118">
                  <c:v>316.81480949905159</c:v>
                </c:pt>
                <c:pt idx="119">
                  <c:v>297.08609204521127</c:v>
                </c:pt>
                <c:pt idx="120">
                  <c:v>296.12340005765151</c:v>
                </c:pt>
                <c:pt idx="121">
                  <c:v>295.15879873098311</c:v>
                </c:pt>
                <c:pt idx="122">
                  <c:v>294.19228427835014</c:v>
                </c:pt>
                <c:pt idx="123">
                  <c:v>293.22385290538614</c:v>
                </c:pt>
                <c:pt idx="124">
                  <c:v>292.25350081019911</c:v>
                </c:pt>
                <c:pt idx="125">
                  <c:v>291.28122418335653</c:v>
                </c:pt>
                <c:pt idx="126">
                  <c:v>290.30701920787084</c:v>
                </c:pt>
                <c:pt idx="127">
                  <c:v>289.33088205918369</c:v>
                </c:pt>
                <c:pt idx="128">
                  <c:v>288.35280890515168</c:v>
                </c:pt>
                <c:pt idx="129">
                  <c:v>287.37279590603083</c:v>
                </c:pt>
                <c:pt idx="130">
                  <c:v>286.39083921446172</c:v>
                </c:pt>
                <c:pt idx="131">
                  <c:v>285.40693497545436</c:v>
                </c:pt>
                <c:pt idx="132">
                  <c:v>284.42107932637288</c:v>
                </c:pt>
                <c:pt idx="133">
                  <c:v>283.43326839692082</c:v>
                </c:pt>
                <c:pt idx="134">
                  <c:v>282.44349830912529</c:v>
                </c:pt>
                <c:pt idx="135">
                  <c:v>281.45176517732233</c:v>
                </c:pt>
                <c:pt idx="136">
                  <c:v>280.45806510814128</c:v>
                </c:pt>
                <c:pt idx="137">
                  <c:v>279.46239420048965</c:v>
                </c:pt>
                <c:pt idx="138">
                  <c:v>278.46474854553793</c:v>
                </c:pt>
                <c:pt idx="139">
                  <c:v>277.46512422670389</c:v>
                </c:pt>
                <c:pt idx="140">
                  <c:v>276.46351731963745</c:v>
                </c:pt>
                <c:pt idx="141">
                  <c:v>275.45992389220538</c:v>
                </c:pt>
                <c:pt idx="142">
                  <c:v>274.45434000447545</c:v>
                </c:pt>
                <c:pt idx="143">
                  <c:v>273.44676170870162</c:v>
                </c:pt>
                <c:pt idx="144">
                  <c:v>272.43718504930786</c:v>
                </c:pt>
                <c:pt idx="145">
                  <c:v>271.42560606287287</c:v>
                </c:pt>
                <c:pt idx="146">
                  <c:v>270.41202077811488</c:v>
                </c:pt>
                <c:pt idx="147">
                  <c:v>269.39642521587535</c:v>
                </c:pt>
                <c:pt idx="148">
                  <c:v>268.37881538910415</c:v>
                </c:pt>
                <c:pt idx="149">
                  <c:v>267.35918730284311</c:v>
                </c:pt>
                <c:pt idx="150">
                  <c:v>266.33753695421103</c:v>
                </c:pt>
                <c:pt idx="151">
                  <c:v>265.31386033238749</c:v>
                </c:pt>
                <c:pt idx="152">
                  <c:v>264.28815341859735</c:v>
                </c:pt>
                <c:pt idx="153">
                  <c:v>263.26041218609481</c:v>
                </c:pt>
                <c:pt idx="154">
                  <c:v>262.23063260014783</c:v>
                </c:pt>
                <c:pt idx="155">
                  <c:v>261.19881061802204</c:v>
                </c:pt>
                <c:pt idx="156">
                  <c:v>260.16494218896509</c:v>
                </c:pt>
                <c:pt idx="157">
                  <c:v>259.12902325419043</c:v>
                </c:pt>
                <c:pt idx="158">
                  <c:v>258.09104974686187</c:v>
                </c:pt>
                <c:pt idx="159">
                  <c:v>257.05101759207707</c:v>
                </c:pt>
                <c:pt idx="160">
                  <c:v>256.00892270685193</c:v>
                </c:pt>
                <c:pt idx="161">
                  <c:v>254.96476100010452</c:v>
                </c:pt>
                <c:pt idx="162">
                  <c:v>253.91852837263863</c:v>
                </c:pt>
                <c:pt idx="163">
                  <c:v>252.87022071712829</c:v>
                </c:pt>
                <c:pt idx="164">
                  <c:v>251.81983391810118</c:v>
                </c:pt>
                <c:pt idx="165">
                  <c:v>250.76736385192271</c:v>
                </c:pt>
                <c:pt idx="166">
                  <c:v>249.71280638677959</c:v>
                </c:pt>
                <c:pt idx="167">
                  <c:v>248.65615738266399</c:v>
                </c:pt>
                <c:pt idx="168">
                  <c:v>247.59741269135688</c:v>
                </c:pt>
                <c:pt idx="169">
                  <c:v>246.53656815641196</c:v>
                </c:pt>
                <c:pt idx="170">
                  <c:v>245.47361961313948</c:v>
                </c:pt>
                <c:pt idx="171">
                  <c:v>244.40856288858947</c:v>
                </c:pt>
                <c:pt idx="172">
                  <c:v>243.34139380153579</c:v>
                </c:pt>
                <c:pt idx="173">
                  <c:v>242.2721081624594</c:v>
                </c:pt>
                <c:pt idx="174">
                  <c:v>241.20070177353224</c:v>
                </c:pt>
                <c:pt idx="175">
                  <c:v>240.12717042860035</c:v>
                </c:pt>
                <c:pt idx="176">
                  <c:v>239.05150991316768</c:v>
                </c:pt>
                <c:pt idx="177">
                  <c:v>237.97371600437941</c:v>
                </c:pt>
                <c:pt idx="178">
                  <c:v>236.89378447100535</c:v>
                </c:pt>
                <c:pt idx="179">
                  <c:v>235.81171107342345</c:v>
                </c:pt>
                <c:pt idx="180">
                  <c:v>234.72749156360297</c:v>
                </c:pt>
                <c:pt idx="181">
                  <c:v>233.64112168508811</c:v>
                </c:pt>
                <c:pt idx="182">
                  <c:v>232.55259717298077</c:v>
                </c:pt>
                <c:pt idx="183">
                  <c:v>231.46191375392445</c:v>
                </c:pt>
                <c:pt idx="184">
                  <c:v>230.36906714608699</c:v>
                </c:pt>
                <c:pt idx="185">
                  <c:v>229.27405305914399</c:v>
                </c:pt>
                <c:pt idx="186">
                  <c:v>228.17686719426192</c:v>
                </c:pt>
                <c:pt idx="187">
                  <c:v>227.0775052440811</c:v>
                </c:pt>
                <c:pt idx="188">
                  <c:v>225.97596289269913</c:v>
                </c:pt>
                <c:pt idx="189">
                  <c:v>224.87223581565357</c:v>
                </c:pt>
                <c:pt idx="190">
                  <c:v>223.76631967990522</c:v>
                </c:pt>
                <c:pt idx="191">
                  <c:v>222.65821014382098</c:v>
                </c:pt>
                <c:pt idx="192">
                  <c:v>221.54790285715683</c:v>
                </c:pt>
                <c:pt idx="193">
                  <c:v>220.4353934610408</c:v>
                </c:pt>
                <c:pt idx="194">
                  <c:v>219.32067758795583</c:v>
                </c:pt>
                <c:pt idx="195">
                  <c:v>218.20375086172251</c:v>
                </c:pt>
                <c:pt idx="196">
                  <c:v>217.08460889748221</c:v>
                </c:pt>
                <c:pt idx="197">
                  <c:v>215.96324730167944</c:v>
                </c:pt>
                <c:pt idx="198">
                  <c:v>214.83966167204508</c:v>
                </c:pt>
                <c:pt idx="199">
                  <c:v>213.71384759757856</c:v>
                </c:pt>
                <c:pt idx="200">
                  <c:v>212.58580065853104</c:v>
                </c:pt>
                <c:pt idx="201">
                  <c:v>211.45551642638773</c:v>
                </c:pt>
                <c:pt idx="202">
                  <c:v>210.32299046385069</c:v>
                </c:pt>
                <c:pt idx="203">
                  <c:v>209.18821832482124</c:v>
                </c:pt>
                <c:pt idx="204">
                  <c:v>208.05119555438273</c:v>
                </c:pt>
                <c:pt idx="205">
                  <c:v>206.91191768878286</c:v>
                </c:pt>
                <c:pt idx="206">
                  <c:v>205.7703802554162</c:v>
                </c:pt>
                <c:pt idx="207">
                  <c:v>204.62657877280671</c:v>
                </c:pt>
                <c:pt idx="208">
                  <c:v>203.48050875059005</c:v>
                </c:pt>
                <c:pt idx="209">
                  <c:v>202.33216568949601</c:v>
                </c:pt>
                <c:pt idx="210">
                  <c:v>201.18154508133077</c:v>
                </c:pt>
                <c:pt idx="211">
                  <c:v>200.02864240895931</c:v>
                </c:pt>
                <c:pt idx="212">
                  <c:v>198.87345314628772</c:v>
                </c:pt>
                <c:pt idx="213">
                  <c:v>197.7159727582451</c:v>
                </c:pt>
                <c:pt idx="214">
                  <c:v>196.55619670076624</c:v>
                </c:pt>
                <c:pt idx="215">
                  <c:v>195.39412042077336</c:v>
                </c:pt>
                <c:pt idx="216">
                  <c:v>194.22973935615849</c:v>
                </c:pt>
                <c:pt idx="217">
                  <c:v>193.06304893576547</c:v>
                </c:pt>
                <c:pt idx="218">
                  <c:v>191.89404457937201</c:v>
                </c:pt>
                <c:pt idx="219">
                  <c:v>190.72272169767169</c:v>
                </c:pt>
                <c:pt idx="220">
                  <c:v>189.549075692256</c:v>
                </c:pt>
                <c:pt idx="221">
                  <c:v>188.37310195559624</c:v>
                </c:pt>
                <c:pt idx="222">
                  <c:v>187.19479587102546</c:v>
                </c:pt>
                <c:pt idx="223">
                  <c:v>186.01415281272025</c:v>
                </c:pt>
                <c:pt idx="224">
                  <c:v>184.83116814568271</c:v>
                </c:pt>
                <c:pt idx="225">
                  <c:v>183.64583722572229</c:v>
                </c:pt>
                <c:pt idx="226">
                  <c:v>182.45815539943723</c:v>
                </c:pt>
                <c:pt idx="227">
                  <c:v>181.26811800419671</c:v>
                </c:pt>
                <c:pt idx="228">
                  <c:v>180.07572036812232</c:v>
                </c:pt>
                <c:pt idx="229">
                  <c:v>178.8809578100697</c:v>
                </c:pt>
                <c:pt idx="230">
                  <c:v>177.68382563961026</c:v>
                </c:pt>
                <c:pt idx="231">
                  <c:v>176.48431915701278</c:v>
                </c:pt>
                <c:pt idx="232">
                  <c:v>175.28243365322476</c:v>
                </c:pt>
                <c:pt idx="233">
                  <c:v>174.07816440985425</c:v>
                </c:pt>
                <c:pt idx="234">
                  <c:v>172.87150669915104</c:v>
                </c:pt>
                <c:pt idx="235">
                  <c:v>171.66245578398832</c:v>
                </c:pt>
                <c:pt idx="236">
                  <c:v>170.45100691784384</c:v>
                </c:pt>
                <c:pt idx="237">
                  <c:v>169.23715534478148</c:v>
                </c:pt>
                <c:pt idx="238">
                  <c:v>168.02089629943254</c:v>
                </c:pt>
                <c:pt idx="239">
                  <c:v>166.80222500697701</c:v>
                </c:pt>
                <c:pt idx="240">
                  <c:v>165.58113668312481</c:v>
                </c:pt>
                <c:pt idx="241">
                  <c:v>164.35762653409691</c:v>
                </c:pt>
                <c:pt idx="242">
                  <c:v>163.13168975660682</c:v>
                </c:pt>
                <c:pt idx="243">
                  <c:v>161.90332153784135</c:v>
                </c:pt>
                <c:pt idx="244">
                  <c:v>160.672517055442</c:v>
                </c:pt>
                <c:pt idx="245">
                  <c:v>159.4392714774859</c:v>
                </c:pt>
                <c:pt idx="246">
                  <c:v>158.20357996246685</c:v>
                </c:pt>
                <c:pt idx="247">
                  <c:v>156.96543765927638</c:v>
                </c:pt>
                <c:pt idx="248">
                  <c:v>155.72483970718454</c:v>
                </c:pt>
                <c:pt idx="249">
                  <c:v>154.48178123582105</c:v>
                </c:pt>
                <c:pt idx="250">
                  <c:v>153.23625736515604</c:v>
                </c:pt>
                <c:pt idx="251">
                  <c:v>151.98826320548085</c:v>
                </c:pt>
                <c:pt idx="252">
                  <c:v>150.73779385738899</c:v>
                </c:pt>
                <c:pt idx="253">
                  <c:v>149.48484441175677</c:v>
                </c:pt>
                <c:pt idx="254">
                  <c:v>148.22940994972399</c:v>
                </c:pt>
                <c:pt idx="255">
                  <c:v>146.97148554267488</c:v>
                </c:pt>
                <c:pt idx="256">
                  <c:v>145.71106625221844</c:v>
                </c:pt>
                <c:pt idx="257">
                  <c:v>144.4481471301693</c:v>
                </c:pt>
                <c:pt idx="258">
                  <c:v>143.18272321852805</c:v>
                </c:pt>
                <c:pt idx="259">
                  <c:v>141.91478954946209</c:v>
                </c:pt>
                <c:pt idx="260">
                  <c:v>140.64434114528581</c:v>
                </c:pt>
                <c:pt idx="261">
                  <c:v>139.3713730184412</c:v>
                </c:pt>
                <c:pt idx="262">
                  <c:v>138.09588017147837</c:v>
                </c:pt>
                <c:pt idx="263">
                  <c:v>136.81785759703573</c:v>
                </c:pt>
                <c:pt idx="264">
                  <c:v>135.53730027782046</c:v>
                </c:pt>
                <c:pt idx="265">
                  <c:v>134.25420318658874</c:v>
                </c:pt>
                <c:pt idx="266">
                  <c:v>132.96856128612609</c:v>
                </c:pt>
                <c:pt idx="267">
                  <c:v>131.68036952922748</c:v>
                </c:pt>
                <c:pt idx="268">
                  <c:v>130.38962285867774</c:v>
                </c:pt>
                <c:pt idx="269">
                  <c:v>129.09631620723138</c:v>
                </c:pt>
                <c:pt idx="270">
                  <c:v>127.80044449759299</c:v>
                </c:pt>
                <c:pt idx="271">
                  <c:v>126.50200264239714</c:v>
                </c:pt>
                <c:pt idx="272">
                  <c:v>125.2009855441885</c:v>
                </c:pt>
                <c:pt idx="273">
                  <c:v>123.89738809540175</c:v>
                </c:pt>
                <c:pt idx="274">
                  <c:v>122.59120517834155</c:v>
                </c:pt>
                <c:pt idx="275">
                  <c:v>121.28243166516252</c:v>
                </c:pt>
                <c:pt idx="276">
                  <c:v>119.97106241784904</c:v>
                </c:pt>
                <c:pt idx="277">
                  <c:v>118.65709228819503</c:v>
                </c:pt>
                <c:pt idx="278">
                  <c:v>117.34051611778388</c:v>
                </c:pt>
                <c:pt idx="279">
                  <c:v>116.02132873796809</c:v>
                </c:pt>
                <c:pt idx="280">
                  <c:v>114.69952496984899</c:v>
                </c:pt>
                <c:pt idx="281">
                  <c:v>113.37509962425645</c:v>
                </c:pt>
                <c:pt idx="282">
                  <c:v>112.04804750172849</c:v>
                </c:pt>
                <c:pt idx="283">
                  <c:v>110.71836339249086</c:v>
                </c:pt>
                <c:pt idx="284">
                  <c:v>109.38604207643657</c:v>
                </c:pt>
                <c:pt idx="285">
                  <c:v>108.05107832310541</c:v>
                </c:pt>
                <c:pt idx="286">
                  <c:v>106.71346689166351</c:v>
                </c:pt>
                <c:pt idx="287">
                  <c:v>105.37320253088258</c:v>
                </c:pt>
                <c:pt idx="288">
                  <c:v>104.03027997911943</c:v>
                </c:pt>
                <c:pt idx="289">
                  <c:v>102.68469396429528</c:v>
                </c:pt>
                <c:pt idx="290">
                  <c:v>101.33643920387506</c:v>
                </c:pt>
                <c:pt idx="291">
                  <c:v>99.985510404846664</c:v>
                </c:pt>
                <c:pt idx="292">
                  <c:v>98.631902263700226</c:v>
                </c:pt>
                <c:pt idx="293">
                  <c:v>97.275609466407161</c:v>
                </c:pt>
                <c:pt idx="294">
                  <c:v>95.916626688399461</c:v>
                </c:pt>
                <c:pt idx="295">
                  <c:v>94.554948594548748</c:v>
                </c:pt>
                <c:pt idx="296">
                  <c:v>93.190569839145198</c:v>
                </c:pt>
                <c:pt idx="297">
                  <c:v>91.823485065876753</c:v>
                </c:pt>
                <c:pt idx="298">
                  <c:v>90.453688907808001</c:v>
                </c:pt>
                <c:pt idx="299">
                  <c:v>89.081175987359089</c:v>
                </c:pt>
                <c:pt idx="300">
                  <c:v>87.705940916284646</c:v>
                </c:pt>
                <c:pt idx="301">
                  <c:v>86.327978295652542</c:v>
                </c:pt>
                <c:pt idx="302">
                  <c:v>84.947282715822851</c:v>
                </c:pt>
                <c:pt idx="303">
                  <c:v>83.563848756426509</c:v>
                </c:pt>
                <c:pt idx="304">
                  <c:v>82.177670986344026</c:v>
                </c:pt>
                <c:pt idx="305">
                  <c:v>80.788743963684212</c:v>
                </c:pt>
                <c:pt idx="306">
                  <c:v>79.397062235762775</c:v>
                </c:pt>
                <c:pt idx="307">
                  <c:v>78.002620339080963</c:v>
                </c:pt>
                <c:pt idx="308">
                  <c:v>76.605412799304091</c:v>
                </c:pt>
                <c:pt idx="309">
                  <c:v>75.205434131239983</c:v>
                </c:pt>
                <c:pt idx="310">
                  <c:v>73.802678838817542</c:v>
                </c:pt>
                <c:pt idx="311">
                  <c:v>72.397141415065121</c:v>
                </c:pt>
                <c:pt idx="312">
                  <c:v>70.988816342088938</c:v>
                </c:pt>
                <c:pt idx="313">
                  <c:v>69.57769809105136</c:v>
                </c:pt>
                <c:pt idx="314">
                  <c:v>68.163781122149217</c:v>
                </c:pt>
                <c:pt idx="315">
                  <c:v>66.74705988459209</c:v>
                </c:pt>
                <c:pt idx="316">
                  <c:v>65.327528816580454</c:v>
                </c:pt>
                <c:pt idx="317">
                  <c:v>63.905182345283947</c:v>
                </c:pt>
                <c:pt idx="318">
                  <c:v>62.480014886819362</c:v>
                </c:pt>
                <c:pt idx="319">
                  <c:v>61.052020846228828</c:v>
                </c:pt>
                <c:pt idx="320">
                  <c:v>59.621194617457782</c:v>
                </c:pt>
                <c:pt idx="321">
                  <c:v>58.187530583333007</c:v>
                </c:pt>
                <c:pt idx="322">
                  <c:v>56.751023115540555</c:v>
                </c:pt>
                <c:pt idx="323">
                  <c:v>55.311666574603642</c:v>
                </c:pt>
                <c:pt idx="324">
                  <c:v>53.869455309860541</c:v>
                </c:pt>
                <c:pt idx="325">
                  <c:v>52.424383659442377</c:v>
                </c:pt>
                <c:pt idx="326">
                  <c:v>50.97644595025087</c:v>
                </c:pt>
                <c:pt idx="327">
                  <c:v>49.525636497936141</c:v>
                </c:pt>
                <c:pt idx="328">
                  <c:v>48.071949606874313</c:v>
                </c:pt>
                <c:pt idx="329">
                  <c:v>46.615379570145215</c:v>
                </c:pt>
                <c:pt idx="330">
                  <c:v>45.155920669509932</c:v>
                </c:pt>
                <c:pt idx="331">
                  <c:v>43.693567175388402</c:v>
                </c:pt>
                <c:pt idx="332">
                  <c:v>42.228313346836863</c:v>
                </c:pt>
                <c:pt idx="333">
                  <c:v>40.76015343152536</c:v>
                </c:pt>
                <c:pt idx="334">
                  <c:v>39.289081665715152</c:v>
                </c:pt>
                <c:pt idx="335">
                  <c:v>37.815092274236086</c:v>
                </c:pt>
                <c:pt idx="336">
                  <c:v>36.33817947046392</c:v>
                </c:pt>
                <c:pt idx="337">
                  <c:v>34.858337456297612</c:v>
                </c:pt>
                <c:pt idx="338">
                  <c:v>33.375560422136537</c:v>
                </c:pt>
                <c:pt idx="339">
                  <c:v>31.889842546857707</c:v>
                </c:pt>
                <c:pt idx="340">
                  <c:v>30.401177997792914</c:v>
                </c:pt>
                <c:pt idx="341">
                  <c:v>28.909560930705805</c:v>
                </c:pt>
                <c:pt idx="342">
                  <c:v>27.41498548976897</c:v>
                </c:pt>
                <c:pt idx="343">
                  <c:v>25.917445807540947</c:v>
                </c:pt>
                <c:pt idx="344">
                  <c:v>24.416936004943171</c:v>
                </c:pt>
                <c:pt idx="345">
                  <c:v>22.913450191236915</c:v>
                </c:pt>
                <c:pt idx="346">
                  <c:v>21.406982464000137</c:v>
                </c:pt>
                <c:pt idx="347">
                  <c:v>19.897526909104336</c:v>
                </c:pt>
                <c:pt idx="348">
                  <c:v>18.385077600691329</c:v>
                </c:pt>
                <c:pt idx="349">
                  <c:v>16.869628601149973</c:v>
                </c:pt>
                <c:pt idx="350">
                  <c:v>15.351173961092853</c:v>
                </c:pt>
                <c:pt idx="351">
                  <c:v>13.829707719332957</c:v>
                </c:pt>
                <c:pt idx="352">
                  <c:v>12.305223902860236</c:v>
                </c:pt>
                <c:pt idx="353">
                  <c:v>10.777716526818176</c:v>
                </c:pt>
                <c:pt idx="354">
                  <c:v>9.2471795944803024</c:v>
                </c:pt>
                <c:pt idx="355">
                  <c:v>7.7136070972266246</c:v>
                </c:pt>
                <c:pt idx="356">
                  <c:v>6.1769930145200584</c:v>
                </c:pt>
                <c:pt idx="357">
                  <c:v>4.6373313138827932</c:v>
                </c:pt>
                <c:pt idx="358">
                  <c:v>3.0946159508725963</c:v>
                </c:pt>
                <c:pt idx="359">
                  <c:v>1.5488408690590967</c:v>
                </c:pt>
                <c:pt idx="36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BD6-4124-8AF1-DBC64C2F8D6C}"/>
            </c:ext>
          </c:extLst>
        </c:ser>
        <c:ser>
          <c:idx val="8"/>
          <c:order val="11"/>
          <c:tx>
            <c:strRef>
              <c:f>Betalingstabel!$I$10</c:f>
              <c:strCache>
                <c:ptCount val="1"/>
                <c:pt idx="0">
                  <c:v>-€ 200.000,00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val>
            <c:numRef>
              <c:f>Betalingstabel!$I$11:$I$371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BD6-4124-8AF1-DBC64C2F8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986416"/>
        <c:axId val="705988048"/>
        <c:extLst xmlns:c16r2="http://schemas.microsoft.com/office/drawing/2015/06/chart">
          <c:ext xmlns:c15="http://schemas.microsoft.com/office/drawing/2012/chart" uri="{02D57815-91ED-43cb-92C2-25804820EDAC}">
            <c15:filteredAreaSeries>
              <c15:ser>
                <c:idx val="9"/>
                <c:order val="2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Betalingstabel!$J$10</c15:sqref>
                        </c15:formulaRef>
                      </c:ext>
                    </c:extLst>
                    <c:strCache>
                      <c:ptCount val="1"/>
                      <c:pt idx="0">
                        <c:v>Schuldrest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 w="25400">
                    <a:noFill/>
                  </a:ln>
                  <a:effectLst/>
                </c:spPr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Betalingstabel!$J$11:$J$371</c15:sqref>
                        </c15:formulaRef>
                      </c:ext>
                    </c:extLst>
                    <c:numCache>
                      <c:formatCode>"€"\ #,##0.00</c:formatCode>
                      <c:ptCount val="361"/>
                      <c:pt idx="0">
                        <c:v>200000</c:v>
                      </c:pt>
                      <c:pt idx="1">
                        <c:v>199637.58082408932</c:v>
                      </c:pt>
                      <c:pt idx="2">
                        <c:v>199274.35224535243</c:v>
                      </c:pt>
                      <c:pt idx="3">
                        <c:v>198910.31245612304</c:v>
                      </c:pt>
                      <c:pt idx="4">
                        <c:v>198545.45964469769</c:v>
                      </c:pt>
                      <c:pt idx="5">
                        <c:v>198179.79199532684</c:v>
                      </c:pt>
                      <c:pt idx="6">
                        <c:v>197813.30768820571</c:v>
                      </c:pt>
                      <c:pt idx="7">
                        <c:v>197446.00489946533</c:v>
                      </c:pt>
                      <c:pt idx="8">
                        <c:v>197077.88180116346</c:v>
                      </c:pt>
                      <c:pt idx="9">
                        <c:v>196708.93656127536</c:v>
                      </c:pt>
                      <c:pt idx="10">
                        <c:v>196339.16734368485</c:v>
                      </c:pt>
                      <c:pt idx="11">
                        <c:v>195968.57230817506</c:v>
                      </c:pt>
                      <c:pt idx="12">
                        <c:v>195597.14961041929</c:v>
                      </c:pt>
                      <c:pt idx="13">
                        <c:v>195224.89740197186</c:v>
                      </c:pt>
                      <c:pt idx="14">
                        <c:v>194851.81383025891</c:v>
                      </c:pt>
                      <c:pt idx="15">
                        <c:v>194477.89703856912</c:v>
                      </c:pt>
                      <c:pt idx="16">
                        <c:v>194103.14516604456</c:v>
                      </c:pt>
                      <c:pt idx="17">
                        <c:v>193727.55634767137</c:v>
                      </c:pt>
                      <c:pt idx="18">
                        <c:v>193351.12871427048</c:v>
                      </c:pt>
                      <c:pt idx="19">
                        <c:v>192973.86039248834</c:v>
                      </c:pt>
                      <c:pt idx="20">
                        <c:v>192595.74950478753</c:v>
                      </c:pt>
                      <c:pt idx="21">
                        <c:v>192216.79416943752</c:v>
                      </c:pt>
                      <c:pt idx="22">
                        <c:v>191836.99250050524</c:v>
                      </c:pt>
                      <c:pt idx="23">
                        <c:v>191456.34260784567</c:v>
                      </c:pt>
                      <c:pt idx="24">
                        <c:v>191074.8425970925</c:v>
                      </c:pt>
                      <c:pt idx="25">
                        <c:v>190692.49056964865</c:v>
                      </c:pt>
                      <c:pt idx="26">
                        <c:v>190309.28462267685</c:v>
                      </c:pt>
                      <c:pt idx="27">
                        <c:v>189925.22284909015</c:v>
                      </c:pt>
                      <c:pt idx="28">
                        <c:v>189540.30333754243</c:v>
                      </c:pt>
                      <c:pt idx="29">
                        <c:v>189154.52417241893</c:v>
                      </c:pt>
                      <c:pt idx="30">
                        <c:v>188767.88343382665</c:v>
                      </c:pt>
                      <c:pt idx="31">
                        <c:v>188380.37919758484</c:v>
                      </c:pt>
                      <c:pt idx="32">
                        <c:v>187992.00953521542</c:v>
                      </c:pt>
                      <c:pt idx="33">
                        <c:v>187602.77251393336</c:v>
                      </c:pt>
                      <c:pt idx="34">
                        <c:v>187212.66619663712</c:v>
                      </c:pt>
                      <c:pt idx="35">
                        <c:v>186821.68864189892</c:v>
                      </c:pt>
                      <c:pt idx="36">
                        <c:v>186429.83790395514</c:v>
                      </c:pt>
                      <c:pt idx="37">
                        <c:v>186037.1120326966</c:v>
                      </c:pt>
                      <c:pt idx="38">
                        <c:v>185643.50907365893</c:v>
                      </c:pt>
                      <c:pt idx="39">
                        <c:v>185249.02706801274</c:v>
                      </c:pt>
                      <c:pt idx="40">
                        <c:v>184853.66405255394</c:v>
                      </c:pt>
                      <c:pt idx="41">
                        <c:v>184457.41805969397</c:v>
                      </c:pt>
                      <c:pt idx="42">
                        <c:v>184060.28711744995</c:v>
                      </c:pt>
                      <c:pt idx="43">
                        <c:v>183662.2692494349</c:v>
                      </c:pt>
                      <c:pt idx="44">
                        <c:v>183263.36247484796</c:v>
                      </c:pt>
                      <c:pt idx="45">
                        <c:v>182863.56480846443</c:v>
                      </c:pt>
                      <c:pt idx="46">
                        <c:v>182462.87426062598</c:v>
                      </c:pt>
                      <c:pt idx="47">
                        <c:v>182061.28883723068</c:v>
                      </c:pt>
                      <c:pt idx="48">
                        <c:v>181658.80653972313</c:v>
                      </c:pt>
                      <c:pt idx="49">
                        <c:v>181255.42536508449</c:v>
                      </c:pt>
                      <c:pt idx="50">
                        <c:v>180851.14330582248</c:v>
                      </c:pt>
                      <c:pt idx="51">
                        <c:v>180445.95834996147</c:v>
                      </c:pt>
                      <c:pt idx="52">
                        <c:v>180039.86848103235</c:v>
                      </c:pt>
                      <c:pt idx="53">
                        <c:v>179632.87167806263</c:v>
                      </c:pt>
                      <c:pt idx="54">
                        <c:v>179224.96591556628</c:v>
                      </c:pt>
                      <c:pt idx="55">
                        <c:v>178816.1491635337</c:v>
                      </c:pt>
                      <c:pt idx="56">
                        <c:v>178406.41938742157</c:v>
                      </c:pt>
                      <c:pt idx="57">
                        <c:v>177995.7745481428</c:v>
                      </c:pt>
                      <c:pt idx="58">
                        <c:v>177584.2126020563</c:v>
                      </c:pt>
                      <c:pt idx="59">
                        <c:v>177171.73150095687</c:v>
                      </c:pt>
                      <c:pt idx="60">
                        <c:v>176758.32919206499</c:v>
                      </c:pt>
                      <c:pt idx="61">
                        <c:v>176344.00361801658</c:v>
                      </c:pt>
                      <c:pt idx="62">
                        <c:v>175928.75271685279</c:v>
                      </c:pt>
                      <c:pt idx="63">
                        <c:v>175512.57442200973</c:v>
                      </c:pt>
                      <c:pt idx="64">
                        <c:v>175095.4666623082</c:v>
                      </c:pt>
                      <c:pt idx="65">
                        <c:v>174677.42736194332</c:v>
                      </c:pt>
                      <c:pt idx="66">
                        <c:v>174258.45444047431</c:v>
                      </c:pt>
                      <c:pt idx="67">
                        <c:v>173838.545812814</c:v>
                      </c:pt>
                      <c:pt idx="68">
                        <c:v>173417.69938921859</c:v>
                      </c:pt>
                      <c:pt idx="69">
                        <c:v>172995.91307527715</c:v>
                      </c:pt>
                      <c:pt idx="70">
                        <c:v>172573.18477190123</c:v>
                      </c:pt>
                      <c:pt idx="71">
                        <c:v>172149.51237531446</c:v>
                      </c:pt>
                      <c:pt idx="72">
                        <c:v>171724.89377704196</c:v>
                      </c:pt>
                      <c:pt idx="73">
                        <c:v>171299.3268639</c:v>
                      </c:pt>
                      <c:pt idx="74">
                        <c:v>170872.80951798536</c:v>
                      </c:pt>
                      <c:pt idx="75">
                        <c:v>170445.33961666483</c:v>
                      </c:pt>
                      <c:pt idx="76">
                        <c:v>170016.91503256469</c:v>
                      </c:pt>
                      <c:pt idx="77">
                        <c:v>169587.53363356006</c:v>
                      </c:pt>
                      <c:pt idx="78">
                        <c:v>169157.19328276432</c:v>
                      </c:pt>
                      <c:pt idx="79">
                        <c:v>168725.89183851847</c:v>
                      </c:pt>
                      <c:pt idx="80">
                        <c:v>168293.62715438046</c:v>
                      </c:pt>
                      <c:pt idx="81">
                        <c:v>167860.39707911457</c:v>
                      </c:pt>
                      <c:pt idx="82">
                        <c:v>167426.19945668057</c:v>
                      </c:pt>
                      <c:pt idx="83">
                        <c:v>166991.03212622314</c:v>
                      </c:pt>
                      <c:pt idx="84">
                        <c:v>166554.89292206103</c:v>
                      </c:pt>
                      <c:pt idx="85">
                        <c:v>166117.77967367627</c:v>
                      </c:pt>
                      <c:pt idx="86">
                        <c:v>165679.69020570346</c:v>
                      </c:pt>
                      <c:pt idx="87">
                        <c:v>165240.62233791885</c:v>
                      </c:pt>
                      <c:pt idx="88">
                        <c:v>164800.5738852295</c:v>
                      </c:pt>
                      <c:pt idx="89">
                        <c:v>164359.5426576625</c:v>
                      </c:pt>
                      <c:pt idx="90">
                        <c:v>163917.52646035393</c:v>
                      </c:pt>
                      <c:pt idx="91">
                        <c:v>163474.52309353804</c:v>
                      </c:pt>
                      <c:pt idx="92">
                        <c:v>163030.53035253624</c:v>
                      </c:pt>
                      <c:pt idx="93">
                        <c:v>162585.54602774623</c:v>
                      </c:pt>
                      <c:pt idx="94">
                        <c:v>162139.56790463085</c:v>
                      </c:pt>
                      <c:pt idx="95">
                        <c:v>161692.59376370718</c:v>
                      </c:pt>
                      <c:pt idx="96">
                        <c:v>161244.62138053542</c:v>
                      </c:pt>
                      <c:pt idx="97">
                        <c:v>160795.64852570792</c:v>
                      </c:pt>
                      <c:pt idx="98">
                        <c:v>160345.67296483798</c:v>
                      </c:pt>
                      <c:pt idx="99">
                        <c:v>159894.69245854876</c:v>
                      </c:pt>
                      <c:pt idx="100">
                        <c:v>159442.70476246215</c:v>
                      </c:pt>
                      <c:pt idx="101">
                        <c:v>158989.70762718763</c:v>
                      </c:pt>
                      <c:pt idx="102">
                        <c:v>158535.698798311</c:v>
                      </c:pt>
                      <c:pt idx="103">
                        <c:v>158080.67601638319</c:v>
                      </c:pt>
                      <c:pt idx="104">
                        <c:v>157624.63701690908</c:v>
                      </c:pt>
                      <c:pt idx="105">
                        <c:v>157167.57953033617</c:v>
                      </c:pt>
                      <c:pt idx="106">
                        <c:v>156709.50128204323</c:v>
                      </c:pt>
                      <c:pt idx="107">
                        <c:v>156250.3999923291</c:v>
                      </c:pt>
                      <c:pt idx="108">
                        <c:v>155790.27337640128</c:v>
                      </c:pt>
                      <c:pt idx="109">
                        <c:v>155329.11914436455</c:v>
                      </c:pt>
                      <c:pt idx="110">
                        <c:v>154866.93500120961</c:v>
                      </c:pt>
                      <c:pt idx="111">
                        <c:v>154403.71864680163</c:v>
                      </c:pt>
                      <c:pt idx="112">
                        <c:v>153939.4677758688</c:v>
                      </c:pt>
                      <c:pt idx="113">
                        <c:v>153474.1800779909</c:v>
                      </c:pt>
                      <c:pt idx="114">
                        <c:v>153007.85323758773</c:v>
                      </c:pt>
                      <c:pt idx="115">
                        <c:v>152540.48493390766</c:v>
                      </c:pt>
                      <c:pt idx="116">
                        <c:v>152072.07284101602</c:v>
                      </c:pt>
                      <c:pt idx="117">
                        <c:v>151602.61462778359</c:v>
                      </c:pt>
                      <c:pt idx="118">
                        <c:v>151132.10795787495</c:v>
                      </c:pt>
                      <c:pt idx="119">
                        <c:v>150660.55048973684</c:v>
                      </c:pt>
                      <c:pt idx="120">
                        <c:v>150187.93987658655</c:v>
                      </c:pt>
                      <c:pt idx="121">
                        <c:v>149714.27376640023</c:v>
                      </c:pt>
                      <c:pt idx="122">
                        <c:v>149239.54980190119</c:v>
                      </c:pt>
                      <c:pt idx="123">
                        <c:v>148763.76562054807</c:v>
                      </c:pt>
                      <c:pt idx="124">
                        <c:v>148286.91885452328</c:v>
                      </c:pt>
                      <c:pt idx="125">
                        <c:v>147809.00713072103</c:v>
                      </c:pt>
                      <c:pt idx="126">
                        <c:v>147330.02807073563</c:v>
                      </c:pt>
                      <c:pt idx="127">
                        <c:v>146849.97929084959</c:v>
                      </c:pt>
                      <c:pt idx="128">
                        <c:v>146368.85840202178</c:v>
                      </c:pt>
                      <c:pt idx="129">
                        <c:v>145886.6630098756</c:v>
                      </c:pt>
                      <c:pt idx="130">
                        <c:v>145403.39071468698</c:v>
                      </c:pt>
                      <c:pt idx="131">
                        <c:v>144919.03911137243</c:v>
                      </c:pt>
                      <c:pt idx="132">
                        <c:v>144433.60578947715</c:v>
                      </c:pt>
                      <c:pt idx="133">
                        <c:v>143947.08833316297</c:v>
                      </c:pt>
                      <c:pt idx="134">
                        <c:v>143459.48432119636</c:v>
                      </c:pt>
                      <c:pt idx="135">
                        <c:v>142970.79132693633</c:v>
                      </c:pt>
                      <c:pt idx="136">
                        <c:v>142481.00691832247</c:v>
                      </c:pt>
                      <c:pt idx="137">
                        <c:v>141990.12865786269</c:v>
                      </c:pt>
                      <c:pt idx="138">
                        <c:v>141498.15410262122</c:v>
                      </c:pt>
                      <c:pt idx="139">
                        <c:v>141005.08080420637</c:v>
                      </c:pt>
                      <c:pt idx="140">
                        <c:v>140510.90630875842</c:v>
                      </c:pt>
                      <c:pt idx="141">
                        <c:v>140015.62815693728</c:v>
                      </c:pt>
                      <c:pt idx="142">
                        <c:v>139519.24388391041</c:v>
                      </c:pt>
                      <c:pt idx="143">
                        <c:v>139021.75101934045</c:v>
                      </c:pt>
                      <c:pt idx="144">
                        <c:v>138523.14708737296</c:v>
                      </c:pt>
                      <c:pt idx="145">
                        <c:v>138023.42960662406</c:v>
                      </c:pt>
                      <c:pt idx="146">
                        <c:v>137522.59609016817</c:v>
                      </c:pt>
                      <c:pt idx="147">
                        <c:v>137020.64404552552</c:v>
                      </c:pt>
                      <c:pt idx="148">
                        <c:v>136517.57097464983</c:v>
                      </c:pt>
                      <c:pt idx="149">
                        <c:v>136013.37437391587</c:v>
                      </c:pt>
                      <c:pt idx="150">
                        <c:v>135508.05173410694</c:v>
                      </c:pt>
                      <c:pt idx="151">
                        <c:v>135001.60054040243</c:v>
                      </c:pt>
                      <c:pt idx="152">
                        <c:v>134494.0182723653</c:v>
                      </c:pt>
                      <c:pt idx="153">
                        <c:v>133985.30240392956</c:v>
                      </c:pt>
                      <c:pt idx="154">
                        <c:v>133475.45040338763</c:v>
                      </c:pt>
                      <c:pt idx="155">
                        <c:v>132964.45973337785</c:v>
                      </c:pt>
                      <c:pt idx="156">
                        <c:v>132452.32785087172</c:v>
                      </c:pt>
                      <c:pt idx="157">
                        <c:v>131939.05220716132</c:v>
                      </c:pt>
                      <c:pt idx="158">
                        <c:v>131424.63024784662</c:v>
                      </c:pt>
                      <c:pt idx="159">
                        <c:v>130909.0594128228</c:v>
                      </c:pt>
                      <c:pt idx="160">
                        <c:v>130392.33713626741</c:v>
                      </c:pt>
                      <c:pt idx="161">
                        <c:v>129874.46084662771</c:v>
                      </c:pt>
                      <c:pt idx="162">
                        <c:v>129355.42796660782</c:v>
                      </c:pt>
                      <c:pt idx="163">
                        <c:v>128835.23591315589</c:v>
                      </c:pt>
                      <c:pt idx="164">
                        <c:v>128313.88209745125</c:v>
                      </c:pt>
                      <c:pt idx="165">
                        <c:v>127791.36392489154</c:v>
                      </c:pt>
                      <c:pt idx="166">
                        <c:v>127267.67879507977</c:v>
                      </c:pt>
                      <c:pt idx="167">
                        <c:v>126742.82410181143</c:v>
                      </c:pt>
                      <c:pt idx="168">
                        <c:v>126216.79723306146</c:v>
                      </c:pt>
                      <c:pt idx="169">
                        <c:v>125689.59557097127</c:v>
                      </c:pt>
                      <c:pt idx="170">
                        <c:v>125161.21649183576</c:v>
                      </c:pt>
                      <c:pt idx="171">
                        <c:v>124631.65736609018</c:v>
                      </c:pt>
                      <c:pt idx="172">
                        <c:v>124100.91555829709</c:v>
                      </c:pt>
                      <c:pt idx="173">
                        <c:v>123568.98842713326</c:v>
                      </c:pt>
                      <c:pt idx="174">
                        <c:v>123035.87332537649</c:v>
                      </c:pt>
                      <c:pt idx="175">
                        <c:v>122501.56759989249</c:v>
                      </c:pt>
                      <c:pt idx="176">
                        <c:v>121966.06859162156</c:v>
                      </c:pt>
                      <c:pt idx="177">
                        <c:v>121429.3736355655</c:v>
                      </c:pt>
                      <c:pt idx="178">
                        <c:v>120891.48006077424</c:v>
                      </c:pt>
                      <c:pt idx="179">
                        <c:v>120352.38519033261</c:v>
                      </c:pt>
                      <c:pt idx="180">
                        <c:v>119812.08634134701</c:v>
                      </c:pt>
                      <c:pt idx="181">
                        <c:v>119270.580824932</c:v>
                      </c:pt>
                      <c:pt idx="182">
                        <c:v>118727.86594619699</c:v>
                      </c:pt>
                      <c:pt idx="183">
                        <c:v>118183.93900423282</c:v>
                      </c:pt>
                      <c:pt idx="184">
                        <c:v>117638.79729209824</c:v>
                      </c:pt>
                      <c:pt idx="185">
                        <c:v>117092.43809680657</c:v>
                      </c:pt>
                      <c:pt idx="186">
                        <c:v>116544.85869931208</c:v>
                      </c:pt>
                      <c:pt idx="187">
                        <c:v>115996.05637449653</c:v>
                      </c:pt>
                      <c:pt idx="188">
                        <c:v>115446.02839115556</c:v>
                      </c:pt>
                      <c:pt idx="189">
                        <c:v>114894.77201198511</c:v>
                      </c:pt>
                      <c:pt idx="190">
                        <c:v>114342.28449356786</c:v>
                      </c:pt>
                      <c:pt idx="191">
                        <c:v>113788.56308635947</c:v>
                      </c:pt>
                      <c:pt idx="192">
                        <c:v>113233.60503467498</c:v>
                      </c:pt>
                      <c:pt idx="193">
                        <c:v>112677.40757667508</c:v>
                      </c:pt>
                      <c:pt idx="194">
                        <c:v>112119.96794435229</c:v>
                      </c:pt>
                      <c:pt idx="195">
                        <c:v>111561.28336351732</c:v>
                      </c:pt>
                      <c:pt idx="196">
                        <c:v>111001.35105378515</c:v>
                      </c:pt>
                      <c:pt idx="197">
                        <c:v>110440.16822856125</c:v>
                      </c:pt>
                      <c:pt idx="198">
                        <c:v>109877.73209502768</c:v>
                      </c:pt>
                      <c:pt idx="199">
                        <c:v>109314.03985412922</c:v>
                      </c:pt>
                      <c:pt idx="200">
                        <c:v>108749.08870055943</c:v>
                      </c:pt>
                      <c:pt idx="201">
                        <c:v>108182.87582274666</c:v>
                      </c:pt>
                      <c:pt idx="202">
                        <c:v>107615.3984028401</c:v>
                      </c:pt>
                      <c:pt idx="203">
                        <c:v>107046.65361669575</c:v>
                      </c:pt>
                      <c:pt idx="204">
                        <c:v>106476.63863386236</c:v>
                      </c:pt>
                      <c:pt idx="205">
                        <c:v>105905.3506175673</c:v>
                      </c:pt>
                      <c:pt idx="206">
                        <c:v>105332.78672470251</c:v>
                      </c:pt>
                      <c:pt idx="207">
                        <c:v>104758.94410581033</c:v>
                      </c:pt>
                      <c:pt idx="208">
                        <c:v>104183.81990506928</c:v>
                      </c:pt>
                      <c:pt idx="209">
                        <c:v>103607.41126027991</c:v>
                      </c:pt>
                      <c:pt idx="210">
                        <c:v>103029.71530285051</c:v>
                      </c:pt>
                      <c:pt idx="211">
                        <c:v>102450.72915778286</c:v>
                      </c:pt>
                      <c:pt idx="212">
                        <c:v>101870.44994365789</c:v>
                      </c:pt>
                      <c:pt idx="213">
                        <c:v>101288.87477262138</c:v>
                      </c:pt>
                      <c:pt idx="214">
                        <c:v>100706.00075036954</c:v>
                      </c:pt>
                      <c:pt idx="215">
                        <c:v>100121.82497613468</c:v>
                      </c:pt>
                      <c:pt idx="216">
                        <c:v>99536.344542670689</c:v>
                      </c:pt>
                      <c:pt idx="217">
                        <c:v>98949.556536238626</c:v>
                      </c:pt>
                      <c:pt idx="218">
                        <c:v>98361.458036592201</c:v>
                      </c:pt>
                      <c:pt idx="219">
                        <c:v>97772.046116963233</c:v>
                      </c:pt>
                      <c:pt idx="220">
                        <c:v>97181.317844047095</c:v>
                      </c:pt>
                      <c:pt idx="221">
                        <c:v>96589.270277988107</c:v>
                      </c:pt>
                      <c:pt idx="222">
                        <c:v>95995.900472364927</c:v>
                      </c:pt>
                      <c:pt idx="223">
                        <c:v>95401.205474175847</c:v>
                      </c:pt>
                      <c:pt idx="224">
                        <c:v>94805.182323824149</c:v>
                      </c:pt>
                      <c:pt idx="225">
                        <c:v>94207.828055103339</c:v>
                      </c:pt>
                      <c:pt idx="226">
                        <c:v>93609.139695182384</c:v>
                      </c:pt>
                      <c:pt idx="227">
                        <c:v>93009.114264590942</c:v>
                      </c:pt>
                      <c:pt idx="228">
                        <c:v>92407.748777204513</c:v>
                      </c:pt>
                      <c:pt idx="229">
                        <c:v>91805.040240229588</c:v>
                      </c:pt>
                      <c:pt idx="230">
                        <c:v>91200.985654188742</c:v>
                      </c:pt>
                      <c:pt idx="231">
                        <c:v>90595.582012905739</c:v>
                      </c:pt>
                      <c:pt idx="232">
                        <c:v>89988.826303490539</c:v>
                      </c:pt>
                      <c:pt idx="233">
                        <c:v>89380.715506324312</c:v>
                      </c:pt>
                      <c:pt idx="234">
                        <c:v>88771.246595044417</c:v>
                      </c:pt>
                      <c:pt idx="235">
                        <c:v>88160.41653652933</c:v>
                      </c:pt>
                      <c:pt idx="236">
                        <c:v>87548.222290883554</c:v>
                      </c:pt>
                      <c:pt idx="237">
                        <c:v>86934.660811422509</c:v>
                      </c:pt>
                      <c:pt idx="238">
                        <c:v>86319.729044657332</c:v>
                      </c:pt>
                      <c:pt idx="239">
                        <c:v>85703.423930279707</c:v>
                      </c:pt>
                      <c:pt idx="240">
                        <c:v>85085.74240114665</c:v>
                      </c:pt>
                      <c:pt idx="241">
                        <c:v>84466.681383265182</c:v>
                      </c:pt>
                      <c:pt idx="242">
                        <c:v>83846.237795777124</c:v>
                      </c:pt>
                      <c:pt idx="243">
                        <c:v>83224.40855094367</c:v>
                      </c:pt>
                      <c:pt idx="244">
                        <c:v>82601.190554130095</c:v>
                      </c:pt>
                      <c:pt idx="245">
                        <c:v>81976.5807037903</c:v>
                      </c:pt>
                      <c:pt idx="246">
                        <c:v>81350.575891451415</c:v>
                      </c:pt>
                      <c:pt idx="247">
                        <c:v>80723.173001698306</c:v>
                      </c:pt>
                      <c:pt idx="248">
                        <c:v>80094.368912158083</c:v>
                      </c:pt>
                      <c:pt idx="249">
                        <c:v>79464.160493484553</c:v>
                      </c:pt>
                      <c:pt idx="250">
                        <c:v>78832.544609342644</c:v>
                      </c:pt>
                      <c:pt idx="251">
                        <c:v>78199.518116392821</c:v>
                      </c:pt>
                      <c:pt idx="252">
                        <c:v>77565.077864275416</c:v>
                      </c:pt>
                      <c:pt idx="253">
                        <c:v>76929.220695594937</c:v>
                      </c:pt>
                      <c:pt idx="254">
                        <c:v>76291.943445904413</c:v>
                      </c:pt>
                      <c:pt idx="255">
                        <c:v>75653.242943689576</c:v>
                      </c:pt>
                      <c:pt idx="256">
                        <c:v>75013.116010353129</c:v>
                      </c:pt>
                      <c:pt idx="257">
                        <c:v>74371.5594601989</c:v>
                      </c:pt>
                      <c:pt idx="258">
                        <c:v>73728.570100415993</c:v>
                      </c:pt>
                      <c:pt idx="259">
                        <c:v>73084.144731062901</c:v>
                      </c:pt>
                      <c:pt idx="260">
                        <c:v>72438.280145051584</c:v>
                      </c:pt>
                      <c:pt idx="261">
                        <c:v>71790.973128131503</c:v>
                      </c:pt>
                      <c:pt idx="262">
                        <c:v>71142.220458873635</c:v>
                      </c:pt>
                      <c:pt idx="263">
                        <c:v>70492.018908654427</c:v>
                      </c:pt>
                      <c:pt idx="264">
                        <c:v>69840.365241639738</c:v>
                      </c:pt>
                      <c:pt idx="265">
                        <c:v>69187.256214768713</c:v>
                      </c:pt>
                      <c:pt idx="266">
                        <c:v>68532.688577737674</c:v>
                      </c:pt>
                      <c:pt idx="267">
                        <c:v>67876.659072983937</c:v>
                      </c:pt>
                      <c:pt idx="268">
                        <c:v>67219.164435669576</c:v>
                      </c:pt>
                      <c:pt idx="269">
                        <c:v>66560.201393665222</c:v>
                      </c:pt>
                      <c:pt idx="270">
                        <c:v>65899.766667533724</c:v>
                      </c:pt>
                      <c:pt idx="271">
                        <c:v>65237.856970513858</c:v>
                      </c:pt>
                      <c:pt idx="272">
                        <c:v>64574.469008503984</c:v>
                      </c:pt>
                      <c:pt idx="273">
                        <c:v>63909.599480045617</c:v>
                      </c:pt>
                      <c:pt idx="274">
                        <c:v>63243.24507630703</c:v>
                      </c:pt>
                      <c:pt idx="275">
                        <c:v>62575.402481066762</c:v>
                      </c:pt>
                      <c:pt idx="276">
                        <c:v>61906.068370697125</c:v>
                      </c:pt>
                      <c:pt idx="277">
                        <c:v>61235.239414147662</c:v>
                      </c:pt>
                      <c:pt idx="278">
                        <c:v>60562.912272928566</c:v>
                      </c:pt>
                      <c:pt idx="279">
                        <c:v>59889.083601094084</c:v>
                      </c:pt>
                      <c:pt idx="280">
                        <c:v>59213.750045225839</c:v>
                      </c:pt>
                      <c:pt idx="281">
                        <c:v>58536.908244416154</c:v>
                      </c:pt>
                      <c:pt idx="282">
                        <c:v>57858.554830251327</c:v>
                      </c:pt>
                      <c:pt idx="283">
                        <c:v>57178.686426794869</c:v>
                      </c:pt>
                      <c:pt idx="284">
                        <c:v>56497.299650570691</c:v>
                      </c:pt>
                      <c:pt idx="285">
                        <c:v>55814.391110546276</c:v>
                      </c:pt>
                      <c:pt idx="286">
                        <c:v>55129.957408115806</c:v>
                      </c:pt>
                      <c:pt idx="287">
                        <c:v>54443.995137083242</c:v>
                      </c:pt>
                      <c:pt idx="288">
                        <c:v>53756.500883645371</c:v>
                      </c:pt>
                      <c:pt idx="289">
                        <c:v>53067.471226374822</c:v>
                      </c:pt>
                      <c:pt idx="290">
                        <c:v>52376.902736203039</c:v>
                      </c:pt>
                      <c:pt idx="291">
                        <c:v>51684.791976403205</c:v>
                      </c:pt>
                      <c:pt idx="292">
                        <c:v>50991.135502573154</c:v>
                      </c:pt>
                      <c:pt idx="293">
                        <c:v>50295.929862618214</c:v>
                      </c:pt>
                      <c:pt idx="294">
                        <c:v>49599.171596734042</c:v>
                      </c:pt>
                      <c:pt idx="295">
                        <c:v>48900.857237389391</c:v>
                      </c:pt>
                      <c:pt idx="296">
                        <c:v>48200.983309308875</c:v>
                      </c:pt>
                      <c:pt idx="297">
                        <c:v>47499.546329455639</c:v>
                      </c:pt>
                      <c:pt idx="298">
                        <c:v>46796.54280701407</c:v>
                      </c:pt>
                      <c:pt idx="299">
                        <c:v>46091.969243372376</c:v>
                      </c:pt>
                      <c:pt idx="300">
                        <c:v>45385.822132105219</c:v>
                      </c:pt>
                      <c:pt idx="301">
                        <c:v>44678.097958956234</c:v>
                      </c:pt>
                      <c:pt idx="302">
                        <c:v>43968.793201820547</c:v>
                      </c:pt>
                      <c:pt idx="303">
                        <c:v>43257.904330727259</c:v>
                      </c:pt>
                      <c:pt idx="304">
                        <c:v>42545.427807821863</c:v>
                      </c:pt>
                      <c:pt idx="305">
                        <c:v>41831.360087348643</c:v>
                      </c:pt>
                      <c:pt idx="306">
                        <c:v>41115.697615633035</c:v>
                      </c:pt>
                      <c:pt idx="307">
                        <c:v>40398.436831063926</c:v>
                      </c:pt>
                      <c:pt idx="308">
                        <c:v>39679.574164075944</c:v>
                      </c:pt>
                      <c:pt idx="309">
                        <c:v>38959.106037131693</c:v>
                      </c:pt>
                      <c:pt idx="310">
                        <c:v>38237.028864703934</c:v>
                      </c:pt>
                      <c:pt idx="311">
                        <c:v>37513.339053257754</c:v>
                      </c:pt>
                      <c:pt idx="312">
                        <c:v>36788.033001232674</c:v>
                      </c:pt>
                      <c:pt idx="313">
                        <c:v>36061.107099024739</c:v>
                      </c:pt>
                      <c:pt idx="314">
                        <c:v>35332.557728968539</c:v>
                      </c:pt>
                      <c:pt idx="315">
                        <c:v>34602.381265319214</c:v>
                      </c:pt>
                      <c:pt idx="316">
                        <c:v>33870.574074234406</c:v>
                      </c:pt>
                      <c:pt idx="317">
                        <c:v>33137.132513756173</c:v>
                      </c:pt>
                      <c:pt idx="318">
                        <c:v>32402.052933792875</c:v>
                      </c:pt>
                      <c:pt idx="319">
                        <c:v>31665.331676100992</c:v>
                      </c:pt>
                      <c:pt idx="320">
                        <c:v>30926.965074266929</c:v>
                      </c:pt>
                      <c:pt idx="321">
                        <c:v>30186.949453688769</c:v>
                      </c:pt>
                      <c:pt idx="322">
                        <c:v>29445.281131557986</c:v>
                      </c:pt>
                      <c:pt idx="323">
                        <c:v>28701.956416841109</c:v>
                      </c:pt>
                      <c:pt idx="324">
                        <c:v>27956.971610261364</c:v>
                      </c:pt>
                      <c:pt idx="325">
                        <c:v>27210.323004280261</c:v>
                      </c:pt>
                      <c:pt idx="326">
                        <c:v>26462.006883079132</c:v>
                      </c:pt>
                      <c:pt idx="327">
                        <c:v>25712.019522540653</c:v>
                      </c:pt>
                      <c:pt idx="328">
                        <c:v>24960.357190230305</c:v>
                      </c:pt>
                      <c:pt idx="329">
                        <c:v>24207.016145377798</c:v>
                      </c:pt>
                      <c:pt idx="330">
                        <c:v>23451.992638858454</c:v>
                      </c:pt>
                      <c:pt idx="331">
                        <c:v>22695.282913174549</c:v>
                      </c:pt>
                      <c:pt idx="332">
                        <c:v>21936.883202436617</c:v>
                      </c:pt>
                      <c:pt idx="333">
                        <c:v>21176.789732344703</c:v>
                      </c:pt>
                      <c:pt idx="334">
                        <c:v>20414.998720169584</c:v>
                      </c:pt>
                      <c:pt idx="335">
                        <c:v>19651.506374733941</c:v>
                      </c:pt>
                      <c:pt idx="336">
                        <c:v>18886.308896393493</c:v>
                      </c:pt>
                      <c:pt idx="337">
                        <c:v>18119.402477018084</c:v>
                      </c:pt>
                      <c:pt idx="338">
                        <c:v>17350.783299972736</c:v>
                      </c:pt>
                      <c:pt idx="339">
                        <c:v>16580.447540098652</c:v>
                      </c:pt>
                      <c:pt idx="340">
                        <c:v>15808.391363694183</c:v>
                      </c:pt>
                      <c:pt idx="341">
                        <c:v>15034.610928495746</c:v>
                      </c:pt>
                      <c:pt idx="342">
                        <c:v>14259.102383658697</c:v>
                      </c:pt>
                      <c:pt idx="343">
                        <c:v>13481.861869738181</c:v>
                      </c:pt>
                      <c:pt idx="344">
                        <c:v>12702.885518669907</c:v>
                      </c:pt>
                      <c:pt idx="345">
                        <c:v>11922.169453750916</c:v>
                      </c:pt>
                      <c:pt idx="346">
                        <c:v>11139.70978962027</c:v>
                      </c:pt>
                      <c:pt idx="347">
                        <c:v>10355.502632239733</c:v>
                      </c:pt>
                      <c:pt idx="348">
                        <c:v>9569.5440788743799</c:v>
                      </c:pt>
                      <c:pt idx="349">
                        <c:v>8781.8302180731771</c:v>
                      </c:pt>
                      <c:pt idx="350">
                        <c:v>7992.3571296495184</c:v>
                      </c:pt>
                      <c:pt idx="351">
                        <c:v>7201.1208846617137</c:v>
                      </c:pt>
                      <c:pt idx="352">
                        <c:v>6408.1175453934366</c:v>
                      </c:pt>
                      <c:pt idx="353">
                        <c:v>5613.3431653341268</c:v>
                      </c:pt>
                      <c:pt idx="354">
                        <c:v>4816.793789159351</c:v>
                      </c:pt>
                      <c:pt idx="355">
                        <c:v>4018.4654527111184</c:v>
                      </c:pt>
                      <c:pt idx="356">
                        <c:v>3218.3541829781516</c:v>
                      </c:pt>
                      <c:pt idx="357">
                        <c:v>2416.4559980761142</c:v>
                      </c:pt>
                      <c:pt idx="358">
                        <c:v>1612.7669072277956</c:v>
                      </c:pt>
                      <c:pt idx="359">
                        <c:v>807.2829107432492</c:v>
                      </c:pt>
                      <c:pt idx="360">
                        <c:v>0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5BD6-4124-8AF1-DBC64C2F8D6C}"/>
                  </c:ext>
                </c:extLst>
              </c15:ser>
            </c15:filteredAreaSeries>
            <c15:filteredAreaSeries>
              <c15:ser>
                <c:idx val="0"/>
                <c:order val="3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Betalingstabel!$A$10</c15:sqref>
                        </c15:formulaRef>
                      </c:ext>
                    </c:extLst>
                    <c:strCache>
                      <c:ptCount val="1"/>
                      <c:pt idx="0">
                        <c:v>Maand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Betalingstabel!$A$11:$A$371</c15:sqref>
                        </c15:formulaRef>
                      </c:ext>
                    </c:extLst>
                    <c:numCache>
                      <c:formatCode>General</c:formatCode>
                      <c:ptCount val="361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  <c:pt idx="36">
                        <c:v>36</c:v>
                      </c:pt>
                      <c:pt idx="37">
                        <c:v>37</c:v>
                      </c:pt>
                      <c:pt idx="38">
                        <c:v>38</c:v>
                      </c:pt>
                      <c:pt idx="39">
                        <c:v>39</c:v>
                      </c:pt>
                      <c:pt idx="40">
                        <c:v>40</c:v>
                      </c:pt>
                      <c:pt idx="41">
                        <c:v>41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44</c:v>
                      </c:pt>
                      <c:pt idx="45">
                        <c:v>45</c:v>
                      </c:pt>
                      <c:pt idx="46">
                        <c:v>46</c:v>
                      </c:pt>
                      <c:pt idx="47">
                        <c:v>47</c:v>
                      </c:pt>
                      <c:pt idx="48">
                        <c:v>48</c:v>
                      </c:pt>
                      <c:pt idx="49">
                        <c:v>49</c:v>
                      </c:pt>
                      <c:pt idx="50">
                        <c:v>50</c:v>
                      </c:pt>
                      <c:pt idx="51">
                        <c:v>51</c:v>
                      </c:pt>
                      <c:pt idx="52">
                        <c:v>52</c:v>
                      </c:pt>
                      <c:pt idx="53">
                        <c:v>53</c:v>
                      </c:pt>
                      <c:pt idx="54">
                        <c:v>54</c:v>
                      </c:pt>
                      <c:pt idx="55">
                        <c:v>55</c:v>
                      </c:pt>
                      <c:pt idx="56">
                        <c:v>56</c:v>
                      </c:pt>
                      <c:pt idx="57">
                        <c:v>57</c:v>
                      </c:pt>
                      <c:pt idx="58">
                        <c:v>58</c:v>
                      </c:pt>
                      <c:pt idx="59">
                        <c:v>59</c:v>
                      </c:pt>
                      <c:pt idx="60">
                        <c:v>60</c:v>
                      </c:pt>
                      <c:pt idx="61">
                        <c:v>61</c:v>
                      </c:pt>
                      <c:pt idx="62">
                        <c:v>62</c:v>
                      </c:pt>
                      <c:pt idx="63">
                        <c:v>63</c:v>
                      </c:pt>
                      <c:pt idx="64">
                        <c:v>64</c:v>
                      </c:pt>
                      <c:pt idx="65">
                        <c:v>65</c:v>
                      </c:pt>
                      <c:pt idx="66">
                        <c:v>66</c:v>
                      </c:pt>
                      <c:pt idx="67">
                        <c:v>67</c:v>
                      </c:pt>
                      <c:pt idx="68">
                        <c:v>68</c:v>
                      </c:pt>
                      <c:pt idx="69">
                        <c:v>69</c:v>
                      </c:pt>
                      <c:pt idx="70">
                        <c:v>70</c:v>
                      </c:pt>
                      <c:pt idx="71">
                        <c:v>71</c:v>
                      </c:pt>
                      <c:pt idx="72">
                        <c:v>72</c:v>
                      </c:pt>
                      <c:pt idx="73">
                        <c:v>73</c:v>
                      </c:pt>
                      <c:pt idx="74">
                        <c:v>74</c:v>
                      </c:pt>
                      <c:pt idx="75">
                        <c:v>75</c:v>
                      </c:pt>
                      <c:pt idx="76">
                        <c:v>76</c:v>
                      </c:pt>
                      <c:pt idx="77">
                        <c:v>77</c:v>
                      </c:pt>
                      <c:pt idx="78">
                        <c:v>78</c:v>
                      </c:pt>
                      <c:pt idx="79">
                        <c:v>79</c:v>
                      </c:pt>
                      <c:pt idx="80">
                        <c:v>80</c:v>
                      </c:pt>
                      <c:pt idx="81">
                        <c:v>81</c:v>
                      </c:pt>
                      <c:pt idx="82">
                        <c:v>82</c:v>
                      </c:pt>
                      <c:pt idx="83">
                        <c:v>83</c:v>
                      </c:pt>
                      <c:pt idx="84">
                        <c:v>84</c:v>
                      </c:pt>
                      <c:pt idx="85">
                        <c:v>85</c:v>
                      </c:pt>
                      <c:pt idx="86">
                        <c:v>86</c:v>
                      </c:pt>
                      <c:pt idx="87">
                        <c:v>87</c:v>
                      </c:pt>
                      <c:pt idx="88">
                        <c:v>88</c:v>
                      </c:pt>
                      <c:pt idx="89">
                        <c:v>89</c:v>
                      </c:pt>
                      <c:pt idx="90">
                        <c:v>90</c:v>
                      </c:pt>
                      <c:pt idx="91">
                        <c:v>91</c:v>
                      </c:pt>
                      <c:pt idx="92">
                        <c:v>92</c:v>
                      </c:pt>
                      <c:pt idx="93">
                        <c:v>93</c:v>
                      </c:pt>
                      <c:pt idx="94">
                        <c:v>94</c:v>
                      </c:pt>
                      <c:pt idx="95">
                        <c:v>95</c:v>
                      </c:pt>
                      <c:pt idx="96">
                        <c:v>96</c:v>
                      </c:pt>
                      <c:pt idx="97">
                        <c:v>97</c:v>
                      </c:pt>
                      <c:pt idx="98">
                        <c:v>98</c:v>
                      </c:pt>
                      <c:pt idx="99">
                        <c:v>99</c:v>
                      </c:pt>
                      <c:pt idx="100">
                        <c:v>100</c:v>
                      </c:pt>
                      <c:pt idx="101">
                        <c:v>101</c:v>
                      </c:pt>
                      <c:pt idx="102">
                        <c:v>102</c:v>
                      </c:pt>
                      <c:pt idx="103">
                        <c:v>103</c:v>
                      </c:pt>
                      <c:pt idx="104">
                        <c:v>104</c:v>
                      </c:pt>
                      <c:pt idx="105">
                        <c:v>105</c:v>
                      </c:pt>
                      <c:pt idx="106">
                        <c:v>106</c:v>
                      </c:pt>
                      <c:pt idx="107">
                        <c:v>107</c:v>
                      </c:pt>
                      <c:pt idx="108">
                        <c:v>108</c:v>
                      </c:pt>
                      <c:pt idx="109">
                        <c:v>109</c:v>
                      </c:pt>
                      <c:pt idx="110">
                        <c:v>110</c:v>
                      </c:pt>
                      <c:pt idx="111">
                        <c:v>111</c:v>
                      </c:pt>
                      <c:pt idx="112">
                        <c:v>112</c:v>
                      </c:pt>
                      <c:pt idx="113">
                        <c:v>113</c:v>
                      </c:pt>
                      <c:pt idx="114">
                        <c:v>114</c:v>
                      </c:pt>
                      <c:pt idx="115">
                        <c:v>115</c:v>
                      </c:pt>
                      <c:pt idx="116">
                        <c:v>116</c:v>
                      </c:pt>
                      <c:pt idx="117">
                        <c:v>117</c:v>
                      </c:pt>
                      <c:pt idx="118">
                        <c:v>118</c:v>
                      </c:pt>
                      <c:pt idx="119">
                        <c:v>119</c:v>
                      </c:pt>
                      <c:pt idx="120">
                        <c:v>120</c:v>
                      </c:pt>
                      <c:pt idx="121">
                        <c:v>121</c:v>
                      </c:pt>
                      <c:pt idx="122">
                        <c:v>122</c:v>
                      </c:pt>
                      <c:pt idx="123">
                        <c:v>123</c:v>
                      </c:pt>
                      <c:pt idx="124">
                        <c:v>124</c:v>
                      </c:pt>
                      <c:pt idx="125">
                        <c:v>125</c:v>
                      </c:pt>
                      <c:pt idx="126">
                        <c:v>126</c:v>
                      </c:pt>
                      <c:pt idx="127">
                        <c:v>127</c:v>
                      </c:pt>
                      <c:pt idx="128">
                        <c:v>128</c:v>
                      </c:pt>
                      <c:pt idx="129">
                        <c:v>129</c:v>
                      </c:pt>
                      <c:pt idx="130">
                        <c:v>130</c:v>
                      </c:pt>
                      <c:pt idx="131">
                        <c:v>131</c:v>
                      </c:pt>
                      <c:pt idx="132">
                        <c:v>132</c:v>
                      </c:pt>
                      <c:pt idx="133">
                        <c:v>133</c:v>
                      </c:pt>
                      <c:pt idx="134">
                        <c:v>134</c:v>
                      </c:pt>
                      <c:pt idx="135">
                        <c:v>135</c:v>
                      </c:pt>
                      <c:pt idx="136">
                        <c:v>136</c:v>
                      </c:pt>
                      <c:pt idx="137">
                        <c:v>137</c:v>
                      </c:pt>
                      <c:pt idx="138">
                        <c:v>138</c:v>
                      </c:pt>
                      <c:pt idx="139">
                        <c:v>139</c:v>
                      </c:pt>
                      <c:pt idx="140">
                        <c:v>140</c:v>
                      </c:pt>
                      <c:pt idx="141">
                        <c:v>141</c:v>
                      </c:pt>
                      <c:pt idx="142">
                        <c:v>142</c:v>
                      </c:pt>
                      <c:pt idx="143">
                        <c:v>143</c:v>
                      </c:pt>
                      <c:pt idx="144">
                        <c:v>144</c:v>
                      </c:pt>
                      <c:pt idx="145">
                        <c:v>145</c:v>
                      </c:pt>
                      <c:pt idx="146">
                        <c:v>146</c:v>
                      </c:pt>
                      <c:pt idx="147">
                        <c:v>147</c:v>
                      </c:pt>
                      <c:pt idx="148">
                        <c:v>148</c:v>
                      </c:pt>
                      <c:pt idx="149">
                        <c:v>149</c:v>
                      </c:pt>
                      <c:pt idx="150">
                        <c:v>150</c:v>
                      </c:pt>
                      <c:pt idx="151">
                        <c:v>151</c:v>
                      </c:pt>
                      <c:pt idx="152">
                        <c:v>152</c:v>
                      </c:pt>
                      <c:pt idx="153">
                        <c:v>153</c:v>
                      </c:pt>
                      <c:pt idx="154">
                        <c:v>154</c:v>
                      </c:pt>
                      <c:pt idx="155">
                        <c:v>155</c:v>
                      </c:pt>
                      <c:pt idx="156">
                        <c:v>156</c:v>
                      </c:pt>
                      <c:pt idx="157">
                        <c:v>157</c:v>
                      </c:pt>
                      <c:pt idx="158">
                        <c:v>158</c:v>
                      </c:pt>
                      <c:pt idx="159">
                        <c:v>159</c:v>
                      </c:pt>
                      <c:pt idx="160">
                        <c:v>160</c:v>
                      </c:pt>
                      <c:pt idx="161">
                        <c:v>161</c:v>
                      </c:pt>
                      <c:pt idx="162">
                        <c:v>162</c:v>
                      </c:pt>
                      <c:pt idx="163">
                        <c:v>163</c:v>
                      </c:pt>
                      <c:pt idx="164">
                        <c:v>164</c:v>
                      </c:pt>
                      <c:pt idx="165">
                        <c:v>165</c:v>
                      </c:pt>
                      <c:pt idx="166">
                        <c:v>166</c:v>
                      </c:pt>
                      <c:pt idx="167">
                        <c:v>167</c:v>
                      </c:pt>
                      <c:pt idx="168">
                        <c:v>168</c:v>
                      </c:pt>
                      <c:pt idx="169">
                        <c:v>169</c:v>
                      </c:pt>
                      <c:pt idx="170">
                        <c:v>170</c:v>
                      </c:pt>
                      <c:pt idx="171">
                        <c:v>171</c:v>
                      </c:pt>
                      <c:pt idx="172">
                        <c:v>172</c:v>
                      </c:pt>
                      <c:pt idx="173">
                        <c:v>173</c:v>
                      </c:pt>
                      <c:pt idx="174">
                        <c:v>174</c:v>
                      </c:pt>
                      <c:pt idx="175">
                        <c:v>175</c:v>
                      </c:pt>
                      <c:pt idx="176">
                        <c:v>176</c:v>
                      </c:pt>
                      <c:pt idx="177">
                        <c:v>177</c:v>
                      </c:pt>
                      <c:pt idx="178">
                        <c:v>178</c:v>
                      </c:pt>
                      <c:pt idx="179">
                        <c:v>179</c:v>
                      </c:pt>
                      <c:pt idx="180">
                        <c:v>180</c:v>
                      </c:pt>
                      <c:pt idx="181">
                        <c:v>181</c:v>
                      </c:pt>
                      <c:pt idx="182">
                        <c:v>182</c:v>
                      </c:pt>
                      <c:pt idx="183">
                        <c:v>183</c:v>
                      </c:pt>
                      <c:pt idx="184">
                        <c:v>184</c:v>
                      </c:pt>
                      <c:pt idx="185">
                        <c:v>185</c:v>
                      </c:pt>
                      <c:pt idx="186">
                        <c:v>186</c:v>
                      </c:pt>
                      <c:pt idx="187">
                        <c:v>187</c:v>
                      </c:pt>
                      <c:pt idx="188">
                        <c:v>188</c:v>
                      </c:pt>
                      <c:pt idx="189">
                        <c:v>189</c:v>
                      </c:pt>
                      <c:pt idx="190">
                        <c:v>190</c:v>
                      </c:pt>
                      <c:pt idx="191">
                        <c:v>191</c:v>
                      </c:pt>
                      <c:pt idx="192">
                        <c:v>192</c:v>
                      </c:pt>
                      <c:pt idx="193">
                        <c:v>193</c:v>
                      </c:pt>
                      <c:pt idx="194">
                        <c:v>194</c:v>
                      </c:pt>
                      <c:pt idx="195">
                        <c:v>195</c:v>
                      </c:pt>
                      <c:pt idx="196">
                        <c:v>196</c:v>
                      </c:pt>
                      <c:pt idx="197">
                        <c:v>197</c:v>
                      </c:pt>
                      <c:pt idx="198">
                        <c:v>198</c:v>
                      </c:pt>
                      <c:pt idx="199">
                        <c:v>199</c:v>
                      </c:pt>
                      <c:pt idx="200">
                        <c:v>200</c:v>
                      </c:pt>
                      <c:pt idx="201">
                        <c:v>201</c:v>
                      </c:pt>
                      <c:pt idx="202">
                        <c:v>202</c:v>
                      </c:pt>
                      <c:pt idx="203">
                        <c:v>203</c:v>
                      </c:pt>
                      <c:pt idx="204">
                        <c:v>204</c:v>
                      </c:pt>
                      <c:pt idx="205">
                        <c:v>205</c:v>
                      </c:pt>
                      <c:pt idx="206">
                        <c:v>206</c:v>
                      </c:pt>
                      <c:pt idx="207">
                        <c:v>207</c:v>
                      </c:pt>
                      <c:pt idx="208">
                        <c:v>208</c:v>
                      </c:pt>
                      <c:pt idx="209">
                        <c:v>209</c:v>
                      </c:pt>
                      <c:pt idx="210">
                        <c:v>210</c:v>
                      </c:pt>
                      <c:pt idx="211">
                        <c:v>211</c:v>
                      </c:pt>
                      <c:pt idx="212">
                        <c:v>212</c:v>
                      </c:pt>
                      <c:pt idx="213">
                        <c:v>213</c:v>
                      </c:pt>
                      <c:pt idx="214">
                        <c:v>214</c:v>
                      </c:pt>
                      <c:pt idx="215">
                        <c:v>215</c:v>
                      </c:pt>
                      <c:pt idx="216">
                        <c:v>216</c:v>
                      </c:pt>
                      <c:pt idx="217">
                        <c:v>217</c:v>
                      </c:pt>
                      <c:pt idx="218">
                        <c:v>218</c:v>
                      </c:pt>
                      <c:pt idx="219">
                        <c:v>219</c:v>
                      </c:pt>
                      <c:pt idx="220">
                        <c:v>220</c:v>
                      </c:pt>
                      <c:pt idx="221">
                        <c:v>221</c:v>
                      </c:pt>
                      <c:pt idx="222">
                        <c:v>222</c:v>
                      </c:pt>
                      <c:pt idx="223">
                        <c:v>223</c:v>
                      </c:pt>
                      <c:pt idx="224">
                        <c:v>224</c:v>
                      </c:pt>
                      <c:pt idx="225">
                        <c:v>225</c:v>
                      </c:pt>
                      <c:pt idx="226">
                        <c:v>226</c:v>
                      </c:pt>
                      <c:pt idx="227">
                        <c:v>227</c:v>
                      </c:pt>
                      <c:pt idx="228">
                        <c:v>228</c:v>
                      </c:pt>
                      <c:pt idx="229">
                        <c:v>229</c:v>
                      </c:pt>
                      <c:pt idx="230">
                        <c:v>230</c:v>
                      </c:pt>
                      <c:pt idx="231">
                        <c:v>231</c:v>
                      </c:pt>
                      <c:pt idx="232">
                        <c:v>232</c:v>
                      </c:pt>
                      <c:pt idx="233">
                        <c:v>233</c:v>
                      </c:pt>
                      <c:pt idx="234">
                        <c:v>234</c:v>
                      </c:pt>
                      <c:pt idx="235">
                        <c:v>235</c:v>
                      </c:pt>
                      <c:pt idx="236">
                        <c:v>236</c:v>
                      </c:pt>
                      <c:pt idx="237">
                        <c:v>237</c:v>
                      </c:pt>
                      <c:pt idx="238">
                        <c:v>238</c:v>
                      </c:pt>
                      <c:pt idx="239">
                        <c:v>239</c:v>
                      </c:pt>
                      <c:pt idx="240">
                        <c:v>240</c:v>
                      </c:pt>
                      <c:pt idx="241">
                        <c:v>241</c:v>
                      </c:pt>
                      <c:pt idx="242">
                        <c:v>242</c:v>
                      </c:pt>
                      <c:pt idx="243">
                        <c:v>243</c:v>
                      </c:pt>
                      <c:pt idx="244">
                        <c:v>244</c:v>
                      </c:pt>
                      <c:pt idx="245">
                        <c:v>245</c:v>
                      </c:pt>
                      <c:pt idx="246">
                        <c:v>246</c:v>
                      </c:pt>
                      <c:pt idx="247">
                        <c:v>247</c:v>
                      </c:pt>
                      <c:pt idx="248">
                        <c:v>248</c:v>
                      </c:pt>
                      <c:pt idx="249">
                        <c:v>249</c:v>
                      </c:pt>
                      <c:pt idx="250">
                        <c:v>250</c:v>
                      </c:pt>
                      <c:pt idx="251">
                        <c:v>251</c:v>
                      </c:pt>
                      <c:pt idx="252">
                        <c:v>252</c:v>
                      </c:pt>
                      <c:pt idx="253">
                        <c:v>253</c:v>
                      </c:pt>
                      <c:pt idx="254">
                        <c:v>254</c:v>
                      </c:pt>
                      <c:pt idx="255">
                        <c:v>255</c:v>
                      </c:pt>
                      <c:pt idx="256">
                        <c:v>256</c:v>
                      </c:pt>
                      <c:pt idx="257">
                        <c:v>257</c:v>
                      </c:pt>
                      <c:pt idx="258">
                        <c:v>258</c:v>
                      </c:pt>
                      <c:pt idx="259">
                        <c:v>259</c:v>
                      </c:pt>
                      <c:pt idx="260">
                        <c:v>260</c:v>
                      </c:pt>
                      <c:pt idx="261">
                        <c:v>261</c:v>
                      </c:pt>
                      <c:pt idx="262">
                        <c:v>262</c:v>
                      </c:pt>
                      <c:pt idx="263">
                        <c:v>263</c:v>
                      </c:pt>
                      <c:pt idx="264">
                        <c:v>264</c:v>
                      </c:pt>
                      <c:pt idx="265">
                        <c:v>265</c:v>
                      </c:pt>
                      <c:pt idx="266">
                        <c:v>266</c:v>
                      </c:pt>
                      <c:pt idx="267">
                        <c:v>267</c:v>
                      </c:pt>
                      <c:pt idx="268">
                        <c:v>268</c:v>
                      </c:pt>
                      <c:pt idx="269">
                        <c:v>269</c:v>
                      </c:pt>
                      <c:pt idx="270">
                        <c:v>270</c:v>
                      </c:pt>
                      <c:pt idx="271">
                        <c:v>271</c:v>
                      </c:pt>
                      <c:pt idx="272">
                        <c:v>272</c:v>
                      </c:pt>
                      <c:pt idx="273">
                        <c:v>273</c:v>
                      </c:pt>
                      <c:pt idx="274">
                        <c:v>274</c:v>
                      </c:pt>
                      <c:pt idx="275">
                        <c:v>275</c:v>
                      </c:pt>
                      <c:pt idx="276">
                        <c:v>276</c:v>
                      </c:pt>
                      <c:pt idx="277">
                        <c:v>277</c:v>
                      </c:pt>
                      <c:pt idx="278">
                        <c:v>278</c:v>
                      </c:pt>
                      <c:pt idx="279">
                        <c:v>279</c:v>
                      </c:pt>
                      <c:pt idx="280">
                        <c:v>280</c:v>
                      </c:pt>
                      <c:pt idx="281">
                        <c:v>281</c:v>
                      </c:pt>
                      <c:pt idx="282">
                        <c:v>282</c:v>
                      </c:pt>
                      <c:pt idx="283">
                        <c:v>283</c:v>
                      </c:pt>
                      <c:pt idx="284">
                        <c:v>284</c:v>
                      </c:pt>
                      <c:pt idx="285">
                        <c:v>285</c:v>
                      </c:pt>
                      <c:pt idx="286">
                        <c:v>286</c:v>
                      </c:pt>
                      <c:pt idx="287">
                        <c:v>287</c:v>
                      </c:pt>
                      <c:pt idx="288">
                        <c:v>288</c:v>
                      </c:pt>
                      <c:pt idx="289">
                        <c:v>289</c:v>
                      </c:pt>
                      <c:pt idx="290">
                        <c:v>290</c:v>
                      </c:pt>
                      <c:pt idx="291">
                        <c:v>291</c:v>
                      </c:pt>
                      <c:pt idx="292">
                        <c:v>292</c:v>
                      </c:pt>
                      <c:pt idx="293">
                        <c:v>293</c:v>
                      </c:pt>
                      <c:pt idx="294">
                        <c:v>294</c:v>
                      </c:pt>
                      <c:pt idx="295">
                        <c:v>295</c:v>
                      </c:pt>
                      <c:pt idx="296">
                        <c:v>296</c:v>
                      </c:pt>
                      <c:pt idx="297">
                        <c:v>297</c:v>
                      </c:pt>
                      <c:pt idx="298">
                        <c:v>298</c:v>
                      </c:pt>
                      <c:pt idx="299">
                        <c:v>299</c:v>
                      </c:pt>
                      <c:pt idx="300">
                        <c:v>300</c:v>
                      </c:pt>
                      <c:pt idx="301">
                        <c:v>301</c:v>
                      </c:pt>
                      <c:pt idx="302">
                        <c:v>302</c:v>
                      </c:pt>
                      <c:pt idx="303">
                        <c:v>303</c:v>
                      </c:pt>
                      <c:pt idx="304">
                        <c:v>304</c:v>
                      </c:pt>
                      <c:pt idx="305">
                        <c:v>305</c:v>
                      </c:pt>
                      <c:pt idx="306">
                        <c:v>306</c:v>
                      </c:pt>
                      <c:pt idx="307">
                        <c:v>307</c:v>
                      </c:pt>
                      <c:pt idx="308">
                        <c:v>308</c:v>
                      </c:pt>
                      <c:pt idx="309">
                        <c:v>309</c:v>
                      </c:pt>
                      <c:pt idx="310">
                        <c:v>310</c:v>
                      </c:pt>
                      <c:pt idx="311">
                        <c:v>311</c:v>
                      </c:pt>
                      <c:pt idx="312">
                        <c:v>312</c:v>
                      </c:pt>
                      <c:pt idx="313">
                        <c:v>313</c:v>
                      </c:pt>
                      <c:pt idx="314">
                        <c:v>314</c:v>
                      </c:pt>
                      <c:pt idx="315">
                        <c:v>315</c:v>
                      </c:pt>
                      <c:pt idx="316">
                        <c:v>316</c:v>
                      </c:pt>
                      <c:pt idx="317">
                        <c:v>317</c:v>
                      </c:pt>
                      <c:pt idx="318">
                        <c:v>318</c:v>
                      </c:pt>
                      <c:pt idx="319">
                        <c:v>319</c:v>
                      </c:pt>
                      <c:pt idx="320">
                        <c:v>320</c:v>
                      </c:pt>
                      <c:pt idx="321">
                        <c:v>321</c:v>
                      </c:pt>
                      <c:pt idx="322">
                        <c:v>322</c:v>
                      </c:pt>
                      <c:pt idx="323">
                        <c:v>323</c:v>
                      </c:pt>
                      <c:pt idx="324">
                        <c:v>324</c:v>
                      </c:pt>
                      <c:pt idx="325">
                        <c:v>325</c:v>
                      </c:pt>
                      <c:pt idx="326">
                        <c:v>326</c:v>
                      </c:pt>
                      <c:pt idx="327">
                        <c:v>327</c:v>
                      </c:pt>
                      <c:pt idx="328">
                        <c:v>328</c:v>
                      </c:pt>
                      <c:pt idx="329">
                        <c:v>329</c:v>
                      </c:pt>
                      <c:pt idx="330">
                        <c:v>330</c:v>
                      </c:pt>
                      <c:pt idx="331">
                        <c:v>331</c:v>
                      </c:pt>
                      <c:pt idx="332">
                        <c:v>332</c:v>
                      </c:pt>
                      <c:pt idx="333">
                        <c:v>333</c:v>
                      </c:pt>
                      <c:pt idx="334">
                        <c:v>334</c:v>
                      </c:pt>
                      <c:pt idx="335">
                        <c:v>335</c:v>
                      </c:pt>
                      <c:pt idx="336">
                        <c:v>336</c:v>
                      </c:pt>
                      <c:pt idx="337">
                        <c:v>337</c:v>
                      </c:pt>
                      <c:pt idx="338">
                        <c:v>338</c:v>
                      </c:pt>
                      <c:pt idx="339">
                        <c:v>339</c:v>
                      </c:pt>
                      <c:pt idx="340">
                        <c:v>340</c:v>
                      </c:pt>
                      <c:pt idx="341">
                        <c:v>341</c:v>
                      </c:pt>
                      <c:pt idx="342">
                        <c:v>342</c:v>
                      </c:pt>
                      <c:pt idx="343">
                        <c:v>343</c:v>
                      </c:pt>
                      <c:pt idx="344">
                        <c:v>344</c:v>
                      </c:pt>
                      <c:pt idx="345">
                        <c:v>345</c:v>
                      </c:pt>
                      <c:pt idx="346">
                        <c:v>346</c:v>
                      </c:pt>
                      <c:pt idx="347">
                        <c:v>347</c:v>
                      </c:pt>
                      <c:pt idx="348">
                        <c:v>348</c:v>
                      </c:pt>
                      <c:pt idx="349">
                        <c:v>349</c:v>
                      </c:pt>
                      <c:pt idx="350">
                        <c:v>350</c:v>
                      </c:pt>
                      <c:pt idx="351">
                        <c:v>351</c:v>
                      </c:pt>
                      <c:pt idx="352">
                        <c:v>352</c:v>
                      </c:pt>
                      <c:pt idx="353">
                        <c:v>353</c:v>
                      </c:pt>
                      <c:pt idx="354">
                        <c:v>354</c:v>
                      </c:pt>
                      <c:pt idx="355">
                        <c:v>355</c:v>
                      </c:pt>
                      <c:pt idx="356">
                        <c:v>356</c:v>
                      </c:pt>
                      <c:pt idx="357">
                        <c:v>357</c:v>
                      </c:pt>
                      <c:pt idx="358">
                        <c:v>358</c:v>
                      </c:pt>
                      <c:pt idx="359">
                        <c:v>359</c:v>
                      </c:pt>
                      <c:pt idx="360">
                        <c:v>360</c:v>
                      </c:pt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4-5BD6-4124-8AF1-DBC64C2F8D6C}"/>
                  </c:ext>
                </c:extLst>
              </c15:ser>
            </c15:filteredAreaSeries>
            <c15:filteredAreaSeries>
              <c15:ser>
                <c:idx val="1"/>
                <c:order val="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Betalingstabel!$B$10</c15:sqref>
                        </c15:formulaRef>
                      </c:ext>
                    </c:extLst>
                    <c:strCache>
                      <c:ptCount val="1"/>
                      <c:pt idx="0">
                        <c:v>Schuldrest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Betalingstabel!$B$11:$B$371</c15:sqref>
                        </c15:formulaRef>
                      </c:ext>
                    </c:extLst>
                    <c:numCache>
                      <c:formatCode>"€"#,##0.00_);[Red]\("€"#,##0.00\)</c:formatCode>
                      <c:ptCount val="361"/>
                      <c:pt idx="0" formatCode="&quot;€&quot;\ #,##0.00">
                        <c:v>200000</c:v>
                      </c:pt>
                      <c:pt idx="1">
                        <c:v>199637.58082408932</c:v>
                      </c:pt>
                      <c:pt idx="2">
                        <c:v>199265.08166083734</c:v>
                      </c:pt>
                      <c:pt idx="3">
                        <c:v>198891.79714518285</c:v>
                      </c:pt>
                      <c:pt idx="4">
                        <c:v>198517.72562134117</c:v>
                      </c:pt>
                      <c:pt idx="5">
                        <c:v>198142.86543003673</c:v>
                      </c:pt>
                      <c:pt idx="6">
                        <c:v>197767.21490849563</c:v>
                      </c:pt>
                      <c:pt idx="7">
                        <c:v>197390.7723904383</c:v>
                      </c:pt>
                      <c:pt idx="8">
                        <c:v>197013.53620607205</c:v>
                      </c:pt>
                      <c:pt idx="9">
                        <c:v>196635.50468208376</c:v>
                      </c:pt>
                      <c:pt idx="10">
                        <c:v>196256.6761416324</c:v>
                      </c:pt>
                      <c:pt idx="11">
                        <c:v>195877.04890434159</c:v>
                      </c:pt>
                      <c:pt idx="12">
                        <c:v>195496.62128629215</c:v>
                      </c:pt>
                      <c:pt idx="13">
                        <c:v>195115.39160001467</c:v>
                      </c:pt>
                      <c:pt idx="14">
                        <c:v>194733.35815448195</c:v>
                      </c:pt>
                      <c:pt idx="15">
                        <c:v>194350.51925510156</c:v>
                      </c:pt>
                      <c:pt idx="16">
                        <c:v>193966.87320370832</c:v>
                      </c:pt>
                      <c:pt idx="17">
                        <c:v>193582.41829855673</c:v>
                      </c:pt>
                      <c:pt idx="18">
                        <c:v>193197.15283431343</c:v>
                      </c:pt>
                      <c:pt idx="19">
                        <c:v>192811.07510204968</c:v>
                      </c:pt>
                      <c:pt idx="20">
                        <c:v>192424.18338923375</c:v>
                      </c:pt>
                      <c:pt idx="21">
                        <c:v>192036.4759797233</c:v>
                      </c:pt>
                      <c:pt idx="22">
                        <c:v>191647.95115375781</c:v>
                      </c:pt>
                      <c:pt idx="23">
                        <c:v>191258.6071879509</c:v>
                      </c:pt>
                      <c:pt idx="24">
                        <c:v>190868.44235528275</c:v>
                      </c:pt>
                      <c:pt idx="25">
                        <c:v>190477.45492509237</c:v>
                      </c:pt>
                      <c:pt idx="26">
                        <c:v>190085.64316307002</c:v>
                      </c:pt>
                      <c:pt idx="27">
                        <c:v>189693.00533124941</c:v>
                      </c:pt>
                      <c:pt idx="28">
                        <c:v>189299.53968800005</c:v>
                      </c:pt>
                      <c:pt idx="29">
                        <c:v>188905.2444880195</c:v>
                      </c:pt>
                      <c:pt idx="30">
                        <c:v>188510.11798232564</c:v>
                      </c:pt>
                      <c:pt idx="31">
                        <c:v>188114.15841824896</c:v>
                      </c:pt>
                      <c:pt idx="32">
                        <c:v>187717.36403942469</c:v>
                      </c:pt>
                      <c:pt idx="33">
                        <c:v>187319.73308578506</c:v>
                      </c:pt>
                      <c:pt idx="34">
                        <c:v>186921.26379355151</c:v>
                      </c:pt>
                      <c:pt idx="35">
                        <c:v>186521.95439522681</c:v>
                      </c:pt>
                      <c:pt idx="36">
                        <c:v>186121.80311958733</c:v>
                      </c:pt>
                      <c:pt idx="37">
                        <c:v>185720.80819167505</c:v>
                      </c:pt>
                      <c:pt idx="38">
                        <c:v>185318.96783278976</c:v>
                      </c:pt>
                      <c:pt idx="39">
                        <c:v>184916.28026048114</c:v>
                      </c:pt>
                      <c:pt idx="40">
                        <c:v>184512.74368854091</c:v>
                      </c:pt>
                      <c:pt idx="41">
                        <c:v>184108.35632699484</c:v>
                      </c:pt>
                      <c:pt idx="42">
                        <c:v>183703.11638209483</c:v>
                      </c:pt>
                      <c:pt idx="43">
                        <c:v>183297.02205631099</c:v>
                      </c:pt>
                      <c:pt idx="44">
                        <c:v>182890.07154832361</c:v>
                      </c:pt>
                      <c:pt idx="45">
                        <c:v>182482.26305301525</c:v>
                      </c:pt>
                      <c:pt idx="46">
                        <c:v>182073.59476146259</c:v>
                      </c:pt>
                      <c:pt idx="47">
                        <c:v>181664.0648609286</c:v>
                      </c:pt>
                      <c:pt idx="48">
                        <c:v>181253.67153485431</c:v>
                      </c:pt>
                      <c:pt idx="49">
                        <c:v>180842.41296285088</c:v>
                      </c:pt>
                      <c:pt idx="50">
                        <c:v>180430.28732069148</c:v>
                      </c:pt>
                      <c:pt idx="51">
                        <c:v>180017.29278030319</c:v>
                      </c:pt>
                      <c:pt idx="52">
                        <c:v>179603.42750975891</c:v>
                      </c:pt>
                      <c:pt idx="53">
                        <c:v>179188.68967326923</c:v>
                      </c:pt>
                      <c:pt idx="54">
                        <c:v>178773.07743117429</c:v>
                      </c:pt>
                      <c:pt idx="55">
                        <c:v>178356.58893993558</c:v>
                      </c:pt>
                      <c:pt idx="56">
                        <c:v>177939.22235212786</c:v>
                      </c:pt>
                      <c:pt idx="57">
                        <c:v>177520.97581643084</c:v>
                      </c:pt>
                      <c:pt idx="58">
                        <c:v>177101.84747762105</c:v>
                      </c:pt>
                      <c:pt idx="59">
                        <c:v>176681.8354765636</c:v>
                      </c:pt>
                      <c:pt idx="60">
                        <c:v>176260.93795020392</c:v>
                      </c:pt>
                      <c:pt idx="61">
                        <c:v>175839.15303155952</c:v>
                      </c:pt>
                      <c:pt idx="62">
                        <c:v>175416.47884971162</c:v>
                      </c:pt>
                      <c:pt idx="63">
                        <c:v>174992.91352979702</c:v>
                      </c:pt>
                      <c:pt idx="64">
                        <c:v>174568.45519299959</c:v>
                      </c:pt>
                      <c:pt idx="65">
                        <c:v>174143.10195654209</c:v>
                      </c:pt>
                      <c:pt idx="66">
                        <c:v>173716.85193367771</c:v>
                      </c:pt>
                      <c:pt idx="67">
                        <c:v>173289.70323368179</c:v>
                      </c:pt>
                      <c:pt idx="68">
                        <c:v>172861.65396184337</c:v>
                      </c:pt>
                      <c:pt idx="69">
                        <c:v>172432.70221945684</c:v>
                      </c:pt>
                      <c:pt idx="70">
                        <c:v>172002.84610381344</c:v>
                      </c:pt>
                      <c:pt idx="71">
                        <c:v>171572.08370819289</c:v>
                      </c:pt>
                      <c:pt idx="72">
                        <c:v>171140.41312185492</c:v>
                      </c:pt>
                      <c:pt idx="73">
                        <c:v>170707.83243003074</c:v>
                      </c:pt>
                      <c:pt idx="74">
                        <c:v>170274.33971391464</c:v>
                      </c:pt>
                      <c:pt idx="75">
                        <c:v>169839.93305065538</c:v>
                      </c:pt>
                      <c:pt idx="76">
                        <c:v>169404.61051334775</c:v>
                      </c:pt>
                      <c:pt idx="77">
                        <c:v>168968.37017102397</c:v>
                      </c:pt>
                      <c:pt idx="78">
                        <c:v>168531.21008864511</c:v>
                      </c:pt>
                      <c:pt idx="79">
                        <c:v>168093.12832709259</c:v>
                      </c:pt>
                      <c:pt idx="80">
                        <c:v>167654.12294315945</c:v>
                      </c:pt>
                      <c:pt idx="81">
                        <c:v>167214.19198954187</c:v>
                      </c:pt>
                      <c:pt idx="82">
                        <c:v>166773.33351483039</c:v>
                      </c:pt>
                      <c:pt idx="83">
                        <c:v>166331.54556350139</c:v>
                      </c:pt>
                      <c:pt idx="84">
                        <c:v>165888.82617590835</c:v>
                      </c:pt>
                      <c:pt idx="85">
                        <c:v>165445.17338827314</c:v>
                      </c:pt>
                      <c:pt idx="86">
                        <c:v>165000.58523267732</c:v>
                      </c:pt>
                      <c:pt idx="87">
                        <c:v>164555.05973705347</c:v>
                      </c:pt>
                      <c:pt idx="88">
                        <c:v>164108.59492517632</c:v>
                      </c:pt>
                      <c:pt idx="89">
                        <c:v>163661.18881665415</c:v>
                      </c:pt>
                      <c:pt idx="90">
                        <c:v>163212.83942691985</c:v>
                      </c:pt>
                      <c:pt idx="91">
                        <c:v>162763.54476722219</c:v>
                      </c:pt>
                      <c:pt idx="92">
                        <c:v>162313.30284461699</c:v>
                      </c:pt>
                      <c:pt idx="93">
                        <c:v>161862.1116619583</c:v>
                      </c:pt>
                      <c:pt idx="94">
                        <c:v>161409.96921788951</c:v>
                      </c:pt>
                      <c:pt idx="95">
                        <c:v>160956.87350683447</c:v>
                      </c:pt>
                      <c:pt idx="96">
                        <c:v>160502.82251898863</c:v>
                      </c:pt>
                      <c:pt idx="97">
                        <c:v>160047.81424031008</c:v>
                      </c:pt>
                      <c:pt idx="98">
                        <c:v>159591.84665251063</c:v>
                      </c:pt>
                      <c:pt idx="99">
                        <c:v>159134.91773304692</c:v>
                      </c:pt>
                      <c:pt idx="100">
                        <c:v>158677.02545511135</c:v>
                      </c:pt>
                      <c:pt idx="101">
                        <c:v>158218.16778762313</c:v>
                      </c:pt>
                      <c:pt idx="102">
                        <c:v>157758.34269521927</c:v>
                      </c:pt>
                      <c:pt idx="103">
                        <c:v>157297.54813824559</c:v>
                      </c:pt>
                      <c:pt idx="104">
                        <c:v>156835.78207274765</c:v>
                      </c:pt>
                      <c:pt idx="105">
                        <c:v>156373.04245046159</c:v>
                      </c:pt>
                      <c:pt idx="106">
                        <c:v>155909.32721880524</c:v>
                      </c:pt>
                      <c:pt idx="107">
                        <c:v>155444.63432086879</c:v>
                      </c:pt>
                      <c:pt idx="108">
                        <c:v>154978.96169540586</c:v>
                      </c:pt>
                      <c:pt idx="109">
                        <c:v>154512.30727682426</c:v>
                      </c:pt>
                      <c:pt idx="110">
                        <c:v>154044.66899517679</c:v>
                      </c:pt>
                      <c:pt idx="111">
                        <c:v>153576.04477615221</c:v>
                      </c:pt>
                      <c:pt idx="112">
                        <c:v>153106.43254106585</c:v>
                      </c:pt>
                      <c:pt idx="113">
                        <c:v>152635.83020685051</c:v>
                      </c:pt>
                      <c:pt idx="114">
                        <c:v>152164.23568604721</c:v>
                      </c:pt>
                      <c:pt idx="115">
                        <c:v>151691.64688679588</c:v>
                      </c:pt>
                      <c:pt idx="116">
                        <c:v>151218.06171282611</c:v>
                      </c:pt>
                      <c:pt idx="117">
                        <c:v>150743.4780634479</c:v>
                      </c:pt>
                      <c:pt idx="118">
                        <c:v>150267.89383354224</c:v>
                      </c:pt>
                      <c:pt idx="119">
                        <c:v>149791.30691355187</c:v>
                      </c:pt>
                      <c:pt idx="120">
                        <c:v>149305.91599545453</c:v>
                      </c:pt>
                      <c:pt idx="121">
                        <c:v>148819.56238536962</c:v>
                      </c:pt>
                      <c:pt idx="122">
                        <c:v>148332.24417395805</c:v>
                      </c:pt>
                      <c:pt idx="123">
                        <c:v>147843.95944809384</c:v>
                      </c:pt>
                      <c:pt idx="124">
                        <c:v>147354.70629085667</c:v>
                      </c:pt>
                      <c:pt idx="125">
                        <c:v>146864.4827815243</c:v>
                      </c:pt>
                      <c:pt idx="126">
                        <c:v>146373.28699556511</c:v>
                      </c:pt>
                      <c:pt idx="127">
                        <c:v>145881.11700463042</c:v>
                      </c:pt>
                      <c:pt idx="128">
                        <c:v>145387.97087654704</c:v>
                      </c:pt>
                      <c:pt idx="129">
                        <c:v>144893.84667530964</c:v>
                      </c:pt>
                      <c:pt idx="130">
                        <c:v>144398.74246107313</c:v>
                      </c:pt>
                      <c:pt idx="131">
                        <c:v>143902.65629014504</c:v>
                      </c:pt>
                      <c:pt idx="132">
                        <c:v>143405.58621497793</c:v>
                      </c:pt>
                      <c:pt idx="133">
                        <c:v>142907.53028416174</c:v>
                      </c:pt>
                      <c:pt idx="134">
                        <c:v>142408.4865424161</c:v>
                      </c:pt>
                      <c:pt idx="135">
                        <c:v>141908.45303058266</c:v>
                      </c:pt>
                      <c:pt idx="136">
                        <c:v>141407.42778561744</c:v>
                      </c:pt>
                      <c:pt idx="137">
                        <c:v>140905.40884058303</c:v>
                      </c:pt>
                      <c:pt idx="138">
                        <c:v>140402.39422464097</c:v>
                      </c:pt>
                      <c:pt idx="139">
                        <c:v>139898.38196304397</c:v>
                      </c:pt>
                      <c:pt idx="140">
                        <c:v>139393.37007712811</c:v>
                      </c:pt>
                      <c:pt idx="141">
                        <c:v>138887.35658430521</c:v>
                      </c:pt>
                      <c:pt idx="142">
                        <c:v>138380.33949805485</c:v>
                      </c:pt>
                      <c:pt idx="143">
                        <c:v>137872.31682791677</c:v>
                      </c:pt>
                      <c:pt idx="144">
                        <c:v>137363.28657948293</c:v>
                      </c:pt>
                      <c:pt idx="145">
                        <c:v>136853.24675438969</c:v>
                      </c:pt>
                      <c:pt idx="146">
                        <c:v>136342.19535031001</c:v>
                      </c:pt>
                      <c:pt idx="147">
                        <c:v>135830.13036094556</c:v>
                      </c:pt>
                      <c:pt idx="148">
                        <c:v>135317.04977601889</c:v>
                      </c:pt>
                      <c:pt idx="149">
                        <c:v>134802.95158126543</c:v>
                      </c:pt>
                      <c:pt idx="150">
                        <c:v>134287.83375842572</c:v>
                      </c:pt>
                      <c:pt idx="151">
                        <c:v>133771.69428523738</c:v>
                      </c:pt>
                      <c:pt idx="152">
                        <c:v>133254.53113542721</c:v>
                      </c:pt>
                      <c:pt idx="153">
                        <c:v>132736.34227870326</c:v>
                      </c:pt>
                      <c:pt idx="154">
                        <c:v>132217.1256807468</c:v>
                      </c:pt>
                      <c:pt idx="155">
                        <c:v>131696.87930320439</c:v>
                      </c:pt>
                      <c:pt idx="156">
                        <c:v>131175.60110367986</c:v>
                      </c:pt>
                      <c:pt idx="157">
                        <c:v>130653.28903572627</c:v>
                      </c:pt>
                      <c:pt idx="158">
                        <c:v>130129.94104883791</c:v>
                      </c:pt>
                      <c:pt idx="159">
                        <c:v>129605.55508844221</c:v>
                      </c:pt>
                      <c:pt idx="160">
                        <c:v>129080.12909589174</c:v>
                      </c:pt>
                      <c:pt idx="161">
                        <c:v>128553.66100845604</c:v>
                      </c:pt>
                      <c:pt idx="162">
                        <c:v>128026.14875931358</c:v>
                      </c:pt>
                      <c:pt idx="163">
                        <c:v>127497.59027754367</c:v>
                      </c:pt>
                      <c:pt idx="164">
                        <c:v>126967.98348811825</c:v>
                      </c:pt>
                      <c:pt idx="165">
                        <c:v>126437.32631189379</c:v>
                      </c:pt>
                      <c:pt idx="166">
                        <c:v>125905.61666560316</c:v>
                      </c:pt>
                      <c:pt idx="167">
                        <c:v>125372.85246184737</c:v>
                      </c:pt>
                      <c:pt idx="168">
                        <c:v>124839.03160908748</c:v>
                      </c:pt>
                      <c:pt idx="169">
                        <c:v>124304.15201163628</c:v>
                      </c:pt>
                      <c:pt idx="170">
                        <c:v>123768.21156965014</c:v>
                      </c:pt>
                      <c:pt idx="171">
                        <c:v>123231.20817912073</c:v>
                      </c:pt>
                      <c:pt idx="172">
                        <c:v>122693.13973186677</c:v>
                      </c:pt>
                      <c:pt idx="173">
                        <c:v>122154.00411552575</c:v>
                      </c:pt>
                      <c:pt idx="174">
                        <c:v>121613.79921354566</c:v>
                      </c:pt>
                      <c:pt idx="175">
                        <c:v>121072.52290517664</c:v>
                      </c:pt>
                      <c:pt idx="176">
                        <c:v>120530.17306546269</c:v>
                      </c:pt>
                      <c:pt idx="177">
                        <c:v>119986.74756523331</c:v>
                      </c:pt>
                      <c:pt idx="178">
                        <c:v>119442.24427109513</c:v>
                      </c:pt>
                      <c:pt idx="179">
                        <c:v>118896.66104542358</c:v>
                      </c:pt>
                      <c:pt idx="180">
                        <c:v>118349.99574635444</c:v>
                      </c:pt>
                      <c:pt idx="181">
                        <c:v>117802.2462277755</c:v>
                      </c:pt>
                      <c:pt idx="182">
                        <c:v>117253.41033931803</c:v>
                      </c:pt>
                      <c:pt idx="183">
                        <c:v>116703.48592634845</c:v>
                      </c:pt>
                      <c:pt idx="184">
                        <c:v>116152.47082995983</c:v>
                      </c:pt>
                      <c:pt idx="185">
                        <c:v>115600.36288696335</c:v>
                      </c:pt>
                      <c:pt idx="186">
                        <c:v>115047.15992987994</c:v>
                      </c:pt>
                      <c:pt idx="187">
                        <c:v>114492.85978693164</c:v>
                      </c:pt>
                      <c:pt idx="188">
                        <c:v>113937.46028203316</c:v>
                      </c:pt>
                      <c:pt idx="189">
                        <c:v>113380.95923478331</c:v>
                      </c:pt>
                      <c:pt idx="190">
                        <c:v>112823.35446045641</c:v>
                      </c:pt>
                      <c:pt idx="191">
                        <c:v>112264.64376999377</c:v>
                      </c:pt>
                      <c:pt idx="192">
                        <c:v>111704.82496999504</c:v>
                      </c:pt>
                      <c:pt idx="193">
                        <c:v>111143.89586270964</c:v>
                      </c:pt>
                      <c:pt idx="194">
                        <c:v>110581.85424602813</c:v>
                      </c:pt>
                      <c:pt idx="195">
                        <c:v>110018.69791347353</c:v>
                      </c:pt>
                      <c:pt idx="196">
                        <c:v>109454.4246541927</c:v>
                      </c:pt>
                      <c:pt idx="197">
                        <c:v>108889.03225294763</c:v>
                      </c:pt>
                      <c:pt idx="198">
                        <c:v>108322.51849010676</c:v>
                      </c:pt>
                      <c:pt idx="199">
                        <c:v>107754.88114163624</c:v>
                      </c:pt>
                      <c:pt idx="200">
                        <c:v>107186.11797909127</c:v>
                      </c:pt>
                      <c:pt idx="201">
                        <c:v>106616.22676960725</c:v>
                      </c:pt>
                      <c:pt idx="202">
                        <c:v>106045.20527589109</c:v>
                      </c:pt>
                      <c:pt idx="203">
                        <c:v>105473.05125621238</c:v>
                      </c:pt>
                      <c:pt idx="204">
                        <c:v>104899.76246439465</c:v>
                      </c:pt>
                      <c:pt idx="205">
                        <c:v>104325.33664980647</c:v>
                      </c:pt>
                      <c:pt idx="206">
                        <c:v>103749.77155735269</c:v>
                      </c:pt>
                      <c:pt idx="207">
                        <c:v>103173.06492746556</c:v>
                      </c:pt>
                      <c:pt idx="208">
                        <c:v>102595.21449609581</c:v>
                      </c:pt>
                      <c:pt idx="209">
                        <c:v>102016.21799470385</c:v>
                      </c:pt>
                      <c:pt idx="210">
                        <c:v>101436.0731502508</c:v>
                      </c:pt>
                      <c:pt idx="211">
                        <c:v>100854.77768518958</c:v>
                      </c:pt>
                      <c:pt idx="212">
                        <c:v>100272.32931745598</c:v>
                      </c:pt>
                      <c:pt idx="213">
                        <c:v>99688.725760459711</c:v>
                      </c:pt>
                      <c:pt idx="214">
                        <c:v>99103.964723075405</c:v>
                      </c:pt>
                      <c:pt idx="215">
                        <c:v>98518.043909633619</c:v>
                      </c:pt>
                      <c:pt idx="216">
                        <c:v>97930.961019911832</c:v>
                      </c:pt>
                      <c:pt idx="217">
                        <c:v>97342.71374912544</c:v>
                      </c:pt>
                      <c:pt idx="218">
                        <c:v>96753.299787918644</c:v>
                      </c:pt>
                      <c:pt idx="219">
                        <c:v>96162.716822355462</c:v>
                      </c:pt>
                      <c:pt idx="220">
                        <c:v>95570.962533910584</c:v>
                      </c:pt>
                      <c:pt idx="221">
                        <c:v>94978.034599460283</c:v>
                      </c:pt>
                      <c:pt idx="222">
                        <c:v>94383.93069127333</c:v>
                      </c:pt>
                      <c:pt idx="223">
                        <c:v>93788.6484770018</c:v>
                      </c:pt>
                      <c:pt idx="224">
                        <c:v>93192.18561967196</c:v>
                      </c:pt>
                      <c:pt idx="225">
                        <c:v>92594.539777675091</c:v>
                      </c:pt>
                      <c:pt idx="226">
                        <c:v>91995.708604758256</c:v>
                      </c:pt>
                      <c:pt idx="227">
                        <c:v>91395.689750015139</c:v>
                      </c:pt>
                      <c:pt idx="228">
                        <c:v>90794.480857876784</c:v>
                      </c:pt>
                      <c:pt idx="229">
                        <c:v>90192.079568102359</c:v>
                      </c:pt>
                      <c:pt idx="230">
                        <c:v>89588.483515769869</c:v>
                      </c:pt>
                      <c:pt idx="231">
                        <c:v>88983.690331266931</c:v>
                      </c:pt>
                      <c:pt idx="232">
                        <c:v>88377.697640281389</c:v>
                      </c:pt>
                      <c:pt idx="233">
                        <c:v>87770.503063792057</c:v>
                      </c:pt>
                      <c:pt idx="234">
                        <c:v>87162.10421805935</c:v>
                      </c:pt>
                      <c:pt idx="235">
                        <c:v>86552.498714615955</c:v>
                      </c:pt>
                      <c:pt idx="236">
                        <c:v>85941.684160257384</c:v>
                      </c:pt>
                      <c:pt idx="237">
                        <c:v>85329.658157032667</c:v>
                      </c:pt>
                      <c:pt idx="238">
                        <c:v>84716.418302234888</c:v>
                      </c:pt>
                      <c:pt idx="239">
                        <c:v>84101.962188391772</c:v>
                      </c:pt>
                      <c:pt idx="240">
                        <c:v>83486.287403256196</c:v>
                      </c:pt>
                      <c:pt idx="241">
                        <c:v>82869.391529796761</c:v>
                      </c:pt>
                      <c:pt idx="242">
                        <c:v>82251.272146188305</c:v>
                      </c:pt>
                      <c:pt idx="243">
                        <c:v>81631.926825802351</c:v>
                      </c:pt>
                      <c:pt idx="244">
                        <c:v>81011.353137197642</c:v>
                      </c:pt>
                      <c:pt idx="245">
                        <c:v>80389.548644110531</c:v>
                      </c:pt>
                      <c:pt idx="246">
                        <c:v>79766.510905445466</c:v>
                      </c:pt>
                      <c:pt idx="247">
                        <c:v>79142.237475265385</c:v>
                      </c:pt>
                      <c:pt idx="248">
                        <c:v>78516.725902782113</c:v>
                      </c:pt>
                      <c:pt idx="249">
                        <c:v>77889.973732346742</c:v>
                      </c:pt>
                      <c:pt idx="250">
                        <c:v>77261.978503440012</c:v>
                      </c:pt>
                      <c:pt idx="251">
                        <c:v>76632.737750662607</c:v>
                      </c:pt>
                      <c:pt idx="252">
                        <c:v>76002.249003725534</c:v>
                      </c:pt>
                      <c:pt idx="253">
                        <c:v>75370.509787440373</c:v>
                      </c:pt>
                      <c:pt idx="254">
                        <c:v>74737.517621709572</c:v>
                      </c:pt>
                      <c:pt idx="255">
                        <c:v>74103.270021516742</c:v>
                      </c:pt>
                      <c:pt idx="256">
                        <c:v>73467.764496916861</c:v>
                      </c:pt>
                      <c:pt idx="257">
                        <c:v>72830.998553026526</c:v>
                      </c:pt>
                      <c:pt idx="258">
                        <c:v>72192.969690014143</c:v>
                      </c:pt>
                      <c:pt idx="259">
                        <c:v>71553.675403090121</c:v>
                      </c:pt>
                      <c:pt idx="260">
                        <c:v>70913.113182497036</c:v>
                      </c:pt>
                      <c:pt idx="261">
                        <c:v>70271.280513499762</c:v>
                      </c:pt>
                      <c:pt idx="262">
                        <c:v>69628.174876375648</c:v>
                      </c:pt>
                      <c:pt idx="263">
                        <c:v>68983.793746404568</c:v>
                      </c:pt>
                      <c:pt idx="264">
                        <c:v>68338.134593859053</c:v>
                      </c:pt>
                      <c:pt idx="265">
                        <c:v>67691.194883994322</c:v>
                      </c:pt>
                      <c:pt idx="266">
                        <c:v>67042.972077038357</c:v>
                      </c:pt>
                      <c:pt idx="267">
                        <c:v>66393.463628181926</c:v>
                      </c:pt>
                      <c:pt idx="268">
                        <c:v>65742.666987568606</c:v>
                      </c:pt>
                      <c:pt idx="269">
                        <c:v>65090.579600284727</c:v>
                      </c:pt>
                      <c:pt idx="270">
                        <c:v>64437.198906349404</c:v>
                      </c:pt>
                      <c:pt idx="271">
                        <c:v>63782.52234070444</c:v>
                      </c:pt>
                      <c:pt idx="272">
                        <c:v>63126.547333204282</c:v>
                      </c:pt>
                      <c:pt idx="273">
                        <c:v>62469.271308605916</c:v>
                      </c:pt>
                      <c:pt idx="274">
                        <c:v>61810.691686558763</c:v>
                      </c:pt>
                      <c:pt idx="275">
                        <c:v>61150.805881594548</c:v>
                      </c:pt>
                      <c:pt idx="276">
                        <c:v>60489.611303117155</c:v>
                      </c:pt>
                      <c:pt idx="277">
                        <c:v>59827.10535539245</c:v>
                      </c:pt>
                      <c:pt idx="278">
                        <c:v>59163.285437538092</c:v>
                      </c:pt>
                      <c:pt idx="279">
                        <c:v>58498.148943513319</c:v>
                      </c:pt>
                      <c:pt idx="280">
                        <c:v>57831.693262108733</c:v>
                      </c:pt>
                      <c:pt idx="281">
                        <c:v>57163.915776936024</c:v>
                      </c:pt>
                      <c:pt idx="282">
                        <c:v>56494.813866417724</c:v>
                      </c:pt>
                      <c:pt idx="283">
                        <c:v>55824.384903776896</c:v>
                      </c:pt>
                      <c:pt idx="284">
                        <c:v>55152.62625702683</c:v>
                      </c:pt>
                      <c:pt idx="285">
                        <c:v>54479.535288960709</c:v>
                      </c:pt>
                      <c:pt idx="286">
                        <c:v>53805.109357141264</c:v>
                      </c:pt>
                      <c:pt idx="287">
                        <c:v>53129.345813890373</c:v>
                      </c:pt>
                      <c:pt idx="288">
                        <c:v>52452.242006278699</c:v>
                      </c:pt>
                      <c:pt idx="289">
                        <c:v>51773.795276115263</c:v>
                      </c:pt>
                      <c:pt idx="290">
                        <c:v>51094.002959937003</c:v>
                      </c:pt>
                      <c:pt idx="291">
                        <c:v>50412.862388998321</c:v>
                      </c:pt>
                      <c:pt idx="292">
                        <c:v>49730.370889260616</c:v>
                      </c:pt>
                      <c:pt idx="293">
                        <c:v>49046.525781381759</c:v>
                      </c:pt>
                      <c:pt idx="294">
                        <c:v>48361.324380705613</c:v>
                      </c:pt>
                      <c:pt idx="295">
                        <c:v>47674.763997251459</c:v>
                      </c:pt>
                      <c:pt idx="296">
                        <c:v>46986.841935703451</c:v>
                      </c:pt>
                      <c:pt idx="297">
                        <c:v>46297.55549540004</c:v>
                      </c:pt>
                      <c:pt idx="298">
                        <c:v>45606.901970323364</c:v>
                      </c:pt>
                      <c:pt idx="299">
                        <c:v>44914.87864908862</c:v>
                      </c:pt>
                      <c:pt idx="300">
                        <c:v>44221.482814933428</c:v>
                      </c:pt>
                      <c:pt idx="301">
                        <c:v>43526.711745707158</c:v>
                      </c:pt>
                      <c:pt idx="302">
                        <c:v>42830.562713860258</c:v>
                      </c:pt>
                      <c:pt idx="303">
                        <c:v>42133.032986433529</c:v>
                      </c:pt>
                      <c:pt idx="304">
                        <c:v>41434.119825047404</c:v>
                      </c:pt>
                      <c:pt idx="305">
                        <c:v>40733.820485891192</c:v>
                      </c:pt>
                      <c:pt idx="306">
                        <c:v>40032.132219712323</c:v>
                      </c:pt>
                      <c:pt idx="307">
                        <c:v>39329.052271805529</c:v>
                      </c:pt>
                      <c:pt idx="308">
                        <c:v>38624.577882002057</c:v>
                      </c:pt>
                      <c:pt idx="309">
                        <c:v>37918.706284658809</c:v>
                      </c:pt>
                      <c:pt idx="310">
                        <c:v>37211.434708647495</c:v>
                      </c:pt>
                      <c:pt idx="311">
                        <c:v>36502.760377343759</c:v>
                      </c:pt>
                      <c:pt idx="312">
                        <c:v>35792.680508616271</c:v>
                      </c:pt>
                      <c:pt idx="313">
                        <c:v>35081.192314815809</c:v>
                      </c:pt>
                      <c:pt idx="314">
                        <c:v>34368.293002764309</c:v>
                      </c:pt>
                      <c:pt idx="315">
                        <c:v>33653.979773743908</c:v>
                      </c:pt>
                      <c:pt idx="316">
                        <c:v>32938.249823485945</c:v>
                      </c:pt>
                      <c:pt idx="317">
                        <c:v>32221.100342159971</c:v>
                      </c:pt>
                      <c:pt idx="318">
                        <c:v>31502.528514362701</c:v>
                      </c:pt>
                      <c:pt idx="319">
                        <c:v>30782.531519106968</c:v>
                      </c:pt>
                      <c:pt idx="320">
                        <c:v>30061.106529810644</c:v>
                      </c:pt>
                      <c:pt idx="321">
                        <c:v>29338.25071428555</c:v>
                      </c:pt>
                      <c:pt idx="322">
                        <c:v>28613.961234726328</c:v>
                      </c:pt>
                      <c:pt idx="323">
                        <c:v>27888.235247699315</c:v>
                      </c:pt>
                      <c:pt idx="324">
                        <c:v>27161.069904131364</c:v>
                      </c:pt>
                      <c:pt idx="325">
                        <c:v>26432.462349298672</c:v>
                      </c:pt>
                      <c:pt idx="326">
                        <c:v>25702.409722815562</c:v>
                      </c:pt>
                      <c:pt idx="327">
                        <c:v>24970.909158623261</c:v>
                      </c:pt>
                      <c:pt idx="328">
                        <c:v>24237.957784978644</c:v>
                      </c:pt>
                      <c:pt idx="329">
                        <c:v>23503.552724442965</c:v>
                      </c:pt>
                      <c:pt idx="330">
                        <c:v>22767.691093870555</c:v>
                      </c:pt>
                      <c:pt idx="331">
                        <c:v>22030.370004397511</c:v>
                      </c:pt>
                      <c:pt idx="332">
                        <c:v>21291.586561430348</c:v>
                      </c:pt>
                      <c:pt idx="333">
                        <c:v>20551.337864634632</c:v>
                      </c:pt>
                      <c:pt idx="334">
                        <c:v>19809.621007923604</c:v>
                      </c:pt>
                      <c:pt idx="335">
                        <c:v>19066.433079446764</c:v>
                      </c:pt>
                      <c:pt idx="336">
                        <c:v>18321.771161578446</c:v>
                      </c:pt>
                      <c:pt idx="337">
                        <c:v>17575.632330906355</c:v>
                      </c:pt>
                      <c:pt idx="338">
                        <c:v>16828.013658220101</c:v>
                      </c:pt>
                      <c:pt idx="339">
                        <c:v>16078.912208499683</c:v>
                      </c:pt>
                      <c:pt idx="340">
                        <c:v>15328.325040903988</c:v>
                      </c:pt>
                      <c:pt idx="341">
                        <c:v>14576.249208759227</c:v>
                      </c:pt>
                      <c:pt idx="342">
                        <c:v>13822.68175954738</c:v>
                      </c:pt>
                      <c:pt idx="343">
                        <c:v>13067.619734894595</c:v>
                      </c:pt>
                      <c:pt idx="344">
                        <c:v>12311.060170559582</c:v>
                      </c:pt>
                      <c:pt idx="345">
                        <c:v>11553.000096421973</c:v>
                      </c:pt>
                      <c:pt idx="346">
                        <c:v>10793.436536470655</c:v>
                      </c:pt>
                      <c:pt idx="347">
                        <c:v>10032.366508792102</c:v>
                      </c:pt>
                      <c:pt idx="348">
                        <c:v>9269.7870255586531</c:v>
                      </c:pt>
                      <c:pt idx="349">
                        <c:v>8505.6950930167914</c:v>
                      </c:pt>
                      <c:pt idx="350">
                        <c:v>7740.0877114753876</c:v>
                      </c:pt>
                      <c:pt idx="351">
                        <c:v>6972.9618752939268</c:v>
                      </c:pt>
                      <c:pt idx="352">
                        <c:v>6204.3145728707068</c:v>
                      </c:pt>
                      <c:pt idx="353">
                        <c:v>5434.1427866310132</c:v>
                      </c:pt>
                      <c:pt idx="354">
                        <c:v>4662.4434930152784</c:v>
                      </c:pt>
                      <c:pt idx="355">
                        <c:v>3889.2136624672053</c:v>
                      </c:pt>
                      <c:pt idx="356">
                        <c:v>3114.4502594218784</c:v>
                      </c:pt>
                      <c:pt idx="357">
                        <c:v>2338.1502422938452</c:v>
                      </c:pt>
                      <c:pt idx="358">
                        <c:v>1560.3105634651747</c:v>
                      </c:pt>
                      <c:pt idx="359">
                        <c:v>780.92816927349406</c:v>
                      </c:pt>
                      <c:pt idx="360">
                        <c:v>0</c:v>
                      </c:pt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5-5BD6-4124-8AF1-DBC64C2F8D6C}"/>
                  </c:ext>
                </c:extLst>
              </c15:ser>
            </c15:filteredAreaSeries>
            <c15:filteredAreaSeries>
              <c15:ser>
                <c:idx val="2"/>
                <c:order val="5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Betalingstabel!$C$10</c15:sqref>
                        </c15:formulaRef>
                      </c:ext>
                    </c:extLst>
                    <c:strCache>
                      <c:ptCount val="1"/>
                      <c:pt idx="0">
                        <c:v>%MW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Betalingstabel!$C$11:$C$371</c15:sqref>
                        </c15:formulaRef>
                      </c:ext>
                    </c:extLst>
                    <c:numCache>
                      <c:formatCode>0.00%</c:formatCode>
                      <c:ptCount val="361"/>
                      <c:pt idx="0">
                        <c:v>0.8</c:v>
                      </c:pt>
                      <c:pt idx="1">
                        <c:v>0.79855032329635733</c:v>
                      </c:pt>
                      <c:pt idx="2">
                        <c:v>0.79706032664334936</c:v>
                      </c:pt>
                      <c:pt idx="3">
                        <c:v>0.79556718858073139</c:v>
                      </c:pt>
                      <c:pt idx="4">
                        <c:v>0.79407090248536472</c:v>
                      </c:pt>
                      <c:pt idx="5">
                        <c:v>0.79257146172014692</c:v>
                      </c:pt>
                      <c:pt idx="6">
                        <c:v>0.79106885963398255</c:v>
                      </c:pt>
                      <c:pt idx="7">
                        <c:v>0.78956308956175325</c:v>
                      </c:pt>
                      <c:pt idx="8">
                        <c:v>0.78805414482428815</c:v>
                      </c:pt>
                      <c:pt idx="9">
                        <c:v>0.78654201872833507</c:v>
                      </c:pt>
                      <c:pt idx="10">
                        <c:v>0.78502670456652957</c:v>
                      </c:pt>
                      <c:pt idx="11">
                        <c:v>0.7835081956173664</c:v>
                      </c:pt>
                      <c:pt idx="12">
                        <c:v>0.78198648514516866</c:v>
                      </c:pt>
                      <c:pt idx="13">
                        <c:v>0.7804615664000587</c:v>
                      </c:pt>
                      <c:pt idx="14">
                        <c:v>0.7789334326179278</c:v>
                      </c:pt>
                      <c:pt idx="15">
                        <c:v>0.77740207702040631</c:v>
                      </c:pt>
                      <c:pt idx="16">
                        <c:v>0.77586749281483325</c:v>
                      </c:pt>
                      <c:pt idx="17">
                        <c:v>0.77432967319422696</c:v>
                      </c:pt>
                      <c:pt idx="18">
                        <c:v>0.77278861133725374</c:v>
                      </c:pt>
                      <c:pt idx="19">
                        <c:v>0.77124430040819869</c:v>
                      </c:pt>
                      <c:pt idx="20">
                        <c:v>0.76969673355693502</c:v>
                      </c:pt>
                      <c:pt idx="21">
                        <c:v>0.76814590391889315</c:v>
                      </c:pt>
                      <c:pt idx="22">
                        <c:v>0.76659180461503118</c:v>
                      </c:pt>
                      <c:pt idx="23">
                        <c:v>0.76503442875180361</c:v>
                      </c:pt>
                      <c:pt idx="24">
                        <c:v>0.76347376942113099</c:v>
                      </c:pt>
                      <c:pt idx="25">
                        <c:v>0.76190981970036953</c:v>
                      </c:pt>
                      <c:pt idx="26">
                        <c:v>0.76034257265228011</c:v>
                      </c:pt>
                      <c:pt idx="27">
                        <c:v>0.75877202132499766</c:v>
                      </c:pt>
                      <c:pt idx="28">
                        <c:v>0.75719815875200014</c:v>
                      </c:pt>
                      <c:pt idx="29">
                        <c:v>0.75562097795207794</c:v>
                      </c:pt>
                      <c:pt idx="30">
                        <c:v>0.75404047192930257</c:v>
                      </c:pt>
                      <c:pt idx="31">
                        <c:v>0.75245663367299587</c:v>
                      </c:pt>
                      <c:pt idx="32">
                        <c:v>0.75086945615769873</c:v>
                      </c:pt>
                      <c:pt idx="33">
                        <c:v>0.74927893234314025</c:v>
                      </c:pt>
                      <c:pt idx="34">
                        <c:v>0.74768505517420603</c:v>
                      </c:pt>
                      <c:pt idx="35">
                        <c:v>0.74608781758090725</c:v>
                      </c:pt>
                      <c:pt idx="36">
                        <c:v>0.74448721247834937</c:v>
                      </c:pt>
                      <c:pt idx="37">
                        <c:v>0.74288323276670021</c:v>
                      </c:pt>
                      <c:pt idx="38">
                        <c:v>0.74127587133115902</c:v>
                      </c:pt>
                      <c:pt idx="39">
                        <c:v>0.73966512104192461</c:v>
                      </c:pt>
                      <c:pt idx="40">
                        <c:v>0.73805097475416359</c:v>
                      </c:pt>
                      <c:pt idx="41">
                        <c:v>0.73643342530797939</c:v>
                      </c:pt>
                      <c:pt idx="42">
                        <c:v>0.73481246552837931</c:v>
                      </c:pt>
                      <c:pt idx="43">
                        <c:v>0.73318808822524395</c:v>
                      </c:pt>
                      <c:pt idx="44">
                        <c:v>0.7315602861932945</c:v>
                      </c:pt>
                      <c:pt idx="45">
                        <c:v>0.72992905221206106</c:v>
                      </c:pt>
                      <c:pt idx="46">
                        <c:v>0.72829437904585037</c:v>
                      </c:pt>
                      <c:pt idx="47">
                        <c:v>0.72665625944371437</c:v>
                      </c:pt>
                      <c:pt idx="48">
                        <c:v>0.72501468613941722</c:v>
                      </c:pt>
                      <c:pt idx="49">
                        <c:v>0.72336965185140356</c:v>
                      </c:pt>
                      <c:pt idx="50">
                        <c:v>0.72172114928276587</c:v>
                      </c:pt>
                      <c:pt idx="51">
                        <c:v>0.72006917112121283</c:v>
                      </c:pt>
                      <c:pt idx="52">
                        <c:v>0.71841371003903565</c:v>
                      </c:pt>
                      <c:pt idx="53">
                        <c:v>0.71675475869307692</c:v>
                      </c:pt>
                      <c:pt idx="54">
                        <c:v>0.71509230972469717</c:v>
                      </c:pt>
                      <c:pt idx="55">
                        <c:v>0.71342635575974234</c:v>
                      </c:pt>
                      <c:pt idx="56">
                        <c:v>0.71175688940851145</c:v>
                      </c:pt>
                      <c:pt idx="57">
                        <c:v>0.71008390326572335</c:v>
                      </c:pt>
                      <c:pt idx="58">
                        <c:v>0.70840738991048424</c:v>
                      </c:pt>
                      <c:pt idx="59">
                        <c:v>0.70672734190625441</c:v>
                      </c:pt>
                      <c:pt idx="60">
                        <c:v>0.70504375180081569</c:v>
                      </c:pt>
                      <c:pt idx="61">
                        <c:v>0.70335661212623801</c:v>
                      </c:pt>
                      <c:pt idx="62">
                        <c:v>0.70166591539884648</c:v>
                      </c:pt>
                      <c:pt idx="63">
                        <c:v>0.69997165411918805</c:v>
                      </c:pt>
                      <c:pt idx="64">
                        <c:v>0.6982738207719984</c:v>
                      </c:pt>
                      <c:pt idx="65">
                        <c:v>0.69657240782616836</c:v>
                      </c:pt>
                      <c:pt idx="66">
                        <c:v>0.69486740773471078</c:v>
                      </c:pt>
                      <c:pt idx="67">
                        <c:v>0.69315881293472714</c:v>
                      </c:pt>
                      <c:pt idx="68">
                        <c:v>0.69144661584737355</c:v>
                      </c:pt>
                      <c:pt idx="69">
                        <c:v>0.68973080887782734</c:v>
                      </c:pt>
                      <c:pt idx="70">
                        <c:v>0.68801138441525378</c:v>
                      </c:pt>
                      <c:pt idx="71">
                        <c:v>0.68628833483277152</c:v>
                      </c:pt>
                      <c:pt idx="72">
                        <c:v>0.68456165248741963</c:v>
                      </c:pt>
                      <c:pt idx="73">
                        <c:v>0.68283132972012295</c:v>
                      </c:pt>
                      <c:pt idx="74">
                        <c:v>0.68109735885565859</c:v>
                      </c:pt>
                      <c:pt idx="75">
                        <c:v>0.67935973220262158</c:v>
                      </c:pt>
                      <c:pt idx="76">
                        <c:v>0.67761844205339106</c:v>
                      </c:pt>
                      <c:pt idx="77">
                        <c:v>0.67587348068409592</c:v>
                      </c:pt>
                      <c:pt idx="78">
                        <c:v>0.67412484035458042</c:v>
                      </c:pt>
                      <c:pt idx="79">
                        <c:v>0.67237251330837033</c:v>
                      </c:pt>
                      <c:pt idx="80">
                        <c:v>0.67061649177263782</c:v>
                      </c:pt>
                      <c:pt idx="81">
                        <c:v>0.66885676795816751</c:v>
                      </c:pt>
                      <c:pt idx="82">
                        <c:v>0.66709333405932159</c:v>
                      </c:pt>
                      <c:pt idx="83">
                        <c:v>0.66532618225400553</c:v>
                      </c:pt>
                      <c:pt idx="84">
                        <c:v>0.66355530470363344</c:v>
                      </c:pt>
                      <c:pt idx="85">
                        <c:v>0.66178069355309255</c:v>
                      </c:pt>
                      <c:pt idx="86">
                        <c:v>0.66000234093070931</c:v>
                      </c:pt>
                      <c:pt idx="87">
                        <c:v>0.65822023894821391</c:v>
                      </c:pt>
                      <c:pt idx="88">
                        <c:v>0.65643437970070528</c:v>
                      </c:pt>
                      <c:pt idx="89">
                        <c:v>0.65464475526661658</c:v>
                      </c:pt>
                      <c:pt idx="90">
                        <c:v>0.65285135770767944</c:v>
                      </c:pt>
                      <c:pt idx="91">
                        <c:v>0.65105417906888874</c:v>
                      </c:pt>
                      <c:pt idx="92">
                        <c:v>0.64925321137846792</c:v>
                      </c:pt>
                      <c:pt idx="93">
                        <c:v>0.64744844664783319</c:v>
                      </c:pt>
                      <c:pt idx="94">
                        <c:v>0.64563987687155799</c:v>
                      </c:pt>
                      <c:pt idx="95">
                        <c:v>0.64382749402733785</c:v>
                      </c:pt>
                      <c:pt idx="96">
                        <c:v>0.64201129007595448</c:v>
                      </c:pt>
                      <c:pt idx="97">
                        <c:v>0.64019125696124035</c:v>
                      </c:pt>
                      <c:pt idx="98">
                        <c:v>0.63836738661004255</c:v>
                      </c:pt>
                      <c:pt idx="99">
                        <c:v>0.63653967093218766</c:v>
                      </c:pt>
                      <c:pt idx="100">
                        <c:v>0.63470810182044535</c:v>
                      </c:pt>
                      <c:pt idx="101">
                        <c:v>0.63287267115049251</c:v>
                      </c:pt>
                      <c:pt idx="102">
                        <c:v>0.63103337078087707</c:v>
                      </c:pt>
                      <c:pt idx="103">
                        <c:v>0.62919019255298236</c:v>
                      </c:pt>
                      <c:pt idx="104">
                        <c:v>0.62734312829099059</c:v>
                      </c:pt>
                      <c:pt idx="105">
                        <c:v>0.62549216980184641</c:v>
                      </c:pt>
                      <c:pt idx="106">
                        <c:v>0.62363730887522095</c:v>
                      </c:pt>
                      <c:pt idx="107">
                        <c:v>0.62177853728347521</c:v>
                      </c:pt>
                      <c:pt idx="108">
                        <c:v>0.61991584678162348</c:v>
                      </c:pt>
                      <c:pt idx="109">
                        <c:v>0.61804922910729698</c:v>
                      </c:pt>
                      <c:pt idx="110">
                        <c:v>0.61617867598070719</c:v>
                      </c:pt>
                      <c:pt idx="111">
                        <c:v>0.61430417910460888</c:v>
                      </c:pt>
                      <c:pt idx="112">
                        <c:v>0.61242573016426338</c:v>
                      </c:pt>
                      <c:pt idx="113">
                        <c:v>0.61054332082740204</c:v>
                      </c:pt>
                      <c:pt idx="114">
                        <c:v>0.6086569427441888</c:v>
                      </c:pt>
                      <c:pt idx="115">
                        <c:v>0.60676658754718349</c:v>
                      </c:pt>
                      <c:pt idx="116">
                        <c:v>0.60487224685130447</c:v>
                      </c:pt>
                      <c:pt idx="117">
                        <c:v>0.6029739122537916</c:v>
                      </c:pt>
                      <c:pt idx="118">
                        <c:v>0.60107157533416899</c:v>
                      </c:pt>
                      <c:pt idx="119">
                        <c:v>0.59916522765420754</c:v>
                      </c:pt>
                      <c:pt idx="120">
                        <c:v>0.59722366398181814</c:v>
                      </c:pt>
                      <c:pt idx="121">
                        <c:v>0.59527824954147845</c:v>
                      </c:pt>
                      <c:pt idx="122">
                        <c:v>0.59332897669583218</c:v>
                      </c:pt>
                      <c:pt idx="123">
                        <c:v>0.59137583779237535</c:v>
                      </c:pt>
                      <c:pt idx="124">
                        <c:v>0.5894188251634267</c:v>
                      </c:pt>
                      <c:pt idx="125">
                        <c:v>0.58745793112609723</c:v>
                      </c:pt>
                      <c:pt idx="126">
                        <c:v>0.58549314798226049</c:v>
                      </c:pt>
                      <c:pt idx="127">
                        <c:v>0.58352446801852165</c:v>
                      </c:pt>
                      <c:pt idx="128">
                        <c:v>0.58155188350618814</c:v>
                      </c:pt>
                      <c:pt idx="129">
                        <c:v>0.57957538670123854</c:v>
                      </c:pt>
                      <c:pt idx="130">
                        <c:v>0.57759496984429248</c:v>
                      </c:pt>
                      <c:pt idx="131">
                        <c:v>0.57561062516058015</c:v>
                      </c:pt>
                      <c:pt idx="132">
                        <c:v>0.5736223448599117</c:v>
                      </c:pt>
                      <c:pt idx="133">
                        <c:v>0.57163012113664691</c:v>
                      </c:pt>
                      <c:pt idx="134">
                        <c:v>0.56963394616966434</c:v>
                      </c:pt>
                      <c:pt idx="135">
                        <c:v>0.56763381212233066</c:v>
                      </c:pt>
                      <c:pt idx="136">
                        <c:v>0.56562971114246974</c:v>
                      </c:pt>
                      <c:pt idx="137">
                        <c:v>0.56362163536233212</c:v>
                      </c:pt>
                      <c:pt idx="138">
                        <c:v>0.56160957689856383</c:v>
                      </c:pt>
                      <c:pt idx="139">
                        <c:v>0.55959352785217586</c:v>
                      </c:pt>
                      <c:pt idx="140">
                        <c:v>0.5575734803085125</c:v>
                      </c:pt>
                      <c:pt idx="141">
                        <c:v>0.55554942633722082</c:v>
                      </c:pt>
                      <c:pt idx="142">
                        <c:v>0.55352135799221935</c:v>
                      </c:pt>
                      <c:pt idx="143">
                        <c:v>0.55148926731166714</c:v>
                      </c:pt>
                      <c:pt idx="144">
                        <c:v>0.54945314631793174</c:v>
                      </c:pt>
                      <c:pt idx="145">
                        <c:v>0.54741298701755881</c:v>
                      </c:pt>
                      <c:pt idx="146">
                        <c:v>0.54536878140124001</c:v>
                      </c:pt>
                      <c:pt idx="147">
                        <c:v>0.54332052144378229</c:v>
                      </c:pt>
                      <c:pt idx="148">
                        <c:v>0.54126819910407553</c:v>
                      </c:pt>
                      <c:pt idx="149">
                        <c:v>0.53921180632506172</c:v>
                      </c:pt>
                      <c:pt idx="150">
                        <c:v>0.53715133503370294</c:v>
                      </c:pt>
                      <c:pt idx="151">
                        <c:v>0.53508677714094954</c:v>
                      </c:pt>
                      <c:pt idx="152">
                        <c:v>0.53301812454170883</c:v>
                      </c:pt>
                      <c:pt idx="153">
                        <c:v>0.53094536911481305</c:v>
                      </c:pt>
                      <c:pt idx="154">
                        <c:v>0.52886850272298724</c:v>
                      </c:pt>
                      <c:pt idx="155">
                        <c:v>0.52678751721281758</c:v>
                      </c:pt>
                      <c:pt idx="156">
                        <c:v>0.52470240441471938</c:v>
                      </c:pt>
                      <c:pt idx="157">
                        <c:v>0.52261315614290504</c:v>
                      </c:pt>
                      <c:pt idx="158">
                        <c:v>0.52051976419535162</c:v>
                      </c:pt>
                      <c:pt idx="159">
                        <c:v>0.51842222035376884</c:v>
                      </c:pt>
                      <c:pt idx="160">
                        <c:v>0.51632051638356691</c:v>
                      </c:pt>
                      <c:pt idx="161">
                        <c:v>0.51421464403382411</c:v>
                      </c:pt>
                      <c:pt idx="162">
                        <c:v>0.51210459503725436</c:v>
                      </c:pt>
                      <c:pt idx="163">
                        <c:v>0.50999036111017471</c:v>
                      </c:pt>
                      <c:pt idx="164">
                        <c:v>0.50787193395247299</c:v>
                      </c:pt>
                      <c:pt idx="165">
                        <c:v>0.50574930524757511</c:v>
                      </c:pt>
                      <c:pt idx="166">
                        <c:v>0.50362246666241262</c:v>
                      </c:pt>
                      <c:pt idx="167">
                        <c:v>0.50149140984738949</c:v>
                      </c:pt>
                      <c:pt idx="168">
                        <c:v>0.49935612643634991</c:v>
                      </c:pt>
                      <c:pt idx="169">
                        <c:v>0.49721660804654511</c:v>
                      </c:pt>
                      <c:pt idx="170">
                        <c:v>0.49507284627860054</c:v>
                      </c:pt>
                      <c:pt idx="171">
                        <c:v>0.49292483271648291</c:v>
                      </c:pt>
                      <c:pt idx="172">
                        <c:v>0.49077255892746707</c:v>
                      </c:pt>
                      <c:pt idx="173">
                        <c:v>0.48861601646210301</c:v>
                      </c:pt>
                      <c:pt idx="174">
                        <c:v>0.48645519685418265</c:v>
                      </c:pt>
                      <c:pt idx="175">
                        <c:v>0.48429009162070652</c:v>
                      </c:pt>
                      <c:pt idx="176">
                        <c:v>0.48212069226185073</c:v>
                      </c:pt>
                      <c:pt idx="177">
                        <c:v>0.47994699026093324</c:v>
                      </c:pt>
                      <c:pt idx="178">
                        <c:v>0.47776897708438054</c:v>
                      </c:pt>
                      <c:pt idx="179">
                        <c:v>0.47558664418169433</c:v>
                      </c:pt>
                      <c:pt idx="180">
                        <c:v>0.47339998298541774</c:v>
                      </c:pt>
                      <c:pt idx="181">
                        <c:v>0.47120898491110197</c:v>
                      </c:pt>
                      <c:pt idx="182">
                        <c:v>0.46901364135727208</c:v>
                      </c:pt>
                      <c:pt idx="183">
                        <c:v>0.46681394370539381</c:v>
                      </c:pt>
                      <c:pt idx="184">
                        <c:v>0.46460988331983932</c:v>
                      </c:pt>
                      <c:pt idx="185">
                        <c:v>0.46240145154785339</c:v>
                      </c:pt>
                      <c:pt idx="186">
                        <c:v>0.46018863971951979</c:v>
                      </c:pt>
                      <c:pt idx="187">
                        <c:v>0.45797143914772659</c:v>
                      </c:pt>
                      <c:pt idx="188">
                        <c:v>0.45574984112813266</c:v>
                      </c:pt>
                      <c:pt idx="189">
                        <c:v>0.45352383693913323</c:v>
                      </c:pt>
                      <c:pt idx="190">
                        <c:v>0.45129341784182564</c:v>
                      </c:pt>
                      <c:pt idx="191">
                        <c:v>0.44905857507997504</c:v>
                      </c:pt>
                      <c:pt idx="192">
                        <c:v>0.44681929987998015</c:v>
                      </c:pt>
                      <c:pt idx="193">
                        <c:v>0.44457558345083859</c:v>
                      </c:pt>
                      <c:pt idx="194">
                        <c:v>0.44232741698411254</c:v>
                      </c:pt>
                      <c:pt idx="195">
                        <c:v>0.44007479165389413</c:v>
                      </c:pt>
                      <c:pt idx="196">
                        <c:v>0.43781769861677078</c:v>
                      </c:pt>
                      <c:pt idx="197">
                        <c:v>0.43555612901179053</c:v>
                      </c:pt>
                      <c:pt idx="198">
                        <c:v>0.43329007396042701</c:v>
                      </c:pt>
                      <c:pt idx="199">
                        <c:v>0.43101952456654496</c:v>
                      </c:pt>
                      <c:pt idx="200">
                        <c:v>0.42874447191636511</c:v>
                      </c:pt>
                      <c:pt idx="201">
                        <c:v>0.42646490707842899</c:v>
                      </c:pt>
                      <c:pt idx="202">
                        <c:v>0.42418082110356436</c:v>
                      </c:pt>
                      <c:pt idx="203">
                        <c:v>0.42189220502484953</c:v>
                      </c:pt>
                      <c:pt idx="204">
                        <c:v>0.41959904985757857</c:v>
                      </c:pt>
                      <c:pt idx="205">
                        <c:v>0.41730134659922591</c:v>
                      </c:pt>
                      <c:pt idx="206">
                        <c:v>0.41499908622941079</c:v>
                      </c:pt>
                      <c:pt idx="207">
                        <c:v>0.41269225970986223</c:v>
                      </c:pt>
                      <c:pt idx="208">
                        <c:v>0.41038085798438323</c:v>
                      </c:pt>
                      <c:pt idx="209">
                        <c:v>0.40806487197881541</c:v>
                      </c:pt>
                      <c:pt idx="210">
                        <c:v>0.4057442926010032</c:v>
                      </c:pt>
                      <c:pt idx="211">
                        <c:v>0.40341911074075831</c:v>
                      </c:pt>
                      <c:pt idx="212">
                        <c:v>0.40108931726982394</c:v>
                      </c:pt>
                      <c:pt idx="213">
                        <c:v>0.39875490304183886</c:v>
                      </c:pt>
                      <c:pt idx="214">
                        <c:v>0.39641585889230163</c:v>
                      </c:pt>
                      <c:pt idx="215">
                        <c:v>0.39407217563853447</c:v>
                      </c:pt>
                      <c:pt idx="216">
                        <c:v>0.39172384407964733</c:v>
                      </c:pt>
                      <c:pt idx="217">
                        <c:v>0.38937085499650176</c:v>
                      </c:pt>
                      <c:pt idx="218">
                        <c:v>0.38701319915167459</c:v>
                      </c:pt>
                      <c:pt idx="219">
                        <c:v>0.38465086728942183</c:v>
                      </c:pt>
                      <c:pt idx="220">
                        <c:v>0.38228385013564231</c:v>
                      </c:pt>
                      <c:pt idx="221">
                        <c:v>0.37991213839784116</c:v>
                      </c:pt>
                      <c:pt idx="222">
                        <c:v>0.37753572276509334</c:v>
                      </c:pt>
                      <c:pt idx="223">
                        <c:v>0.37515459390800721</c:v>
                      </c:pt>
                      <c:pt idx="224">
                        <c:v>0.37276874247868785</c:v>
                      </c:pt>
                      <c:pt idx="225">
                        <c:v>0.37037815911070038</c:v>
                      </c:pt>
                      <c:pt idx="226">
                        <c:v>0.36798283441903301</c:v>
                      </c:pt>
                      <c:pt idx="227">
                        <c:v>0.36558275900006054</c:v>
                      </c:pt>
                      <c:pt idx="228">
                        <c:v>0.36317792343150712</c:v>
                      </c:pt>
                      <c:pt idx="229">
                        <c:v>0.36076831827240946</c:v>
                      </c:pt>
                      <c:pt idx="230">
                        <c:v>0.35835393406307947</c:v>
                      </c:pt>
                      <c:pt idx="231">
                        <c:v>0.35593476132506774</c:v>
                      </c:pt>
                      <c:pt idx="232">
                        <c:v>0.35351079056112555</c:v>
                      </c:pt>
                      <c:pt idx="233">
                        <c:v>0.35108201225516822</c:v>
                      </c:pt>
                      <c:pt idx="234">
                        <c:v>0.34864841687223741</c:v>
                      </c:pt>
                      <c:pt idx="235">
                        <c:v>0.34620999485846382</c:v>
                      </c:pt>
                      <c:pt idx="236">
                        <c:v>0.34376673664102952</c:v>
                      </c:pt>
                      <c:pt idx="237">
                        <c:v>0.34131863262813067</c:v>
                      </c:pt>
                      <c:pt idx="238">
                        <c:v>0.33886567320893957</c:v>
                      </c:pt>
                      <c:pt idx="239">
                        <c:v>0.33640784875356711</c:v>
                      </c:pt>
                      <c:pt idx="240">
                        <c:v>0.33394514961302479</c:v>
                      </c:pt>
                      <c:pt idx="241">
                        <c:v>0.33147756611918705</c:v>
                      </c:pt>
                      <c:pt idx="242">
                        <c:v>0.32900508858475319</c:v>
                      </c:pt>
                      <c:pt idx="243">
                        <c:v>0.3265277073032094</c:v>
                      </c:pt>
                      <c:pt idx="244">
                        <c:v>0.32404541254879055</c:v>
                      </c:pt>
                      <c:pt idx="245">
                        <c:v>0.32155819457644214</c:v>
                      </c:pt>
                      <c:pt idx="246">
                        <c:v>0.31906604362178187</c:v>
                      </c:pt>
                      <c:pt idx="247">
                        <c:v>0.31656894990106155</c:v>
                      </c:pt>
                      <c:pt idx="248">
                        <c:v>0.31406690361112843</c:v>
                      </c:pt>
                      <c:pt idx="249">
                        <c:v>0.31155989492938696</c:v>
                      </c:pt>
                      <c:pt idx="250">
                        <c:v>0.30904791401376003</c:v>
                      </c:pt>
                      <c:pt idx="251">
                        <c:v>0.30653095100265043</c:v>
                      </c:pt>
                      <c:pt idx="252">
                        <c:v>0.30400899601490211</c:v>
                      </c:pt>
                      <c:pt idx="253">
                        <c:v>0.30148203914976152</c:v>
                      </c:pt>
                      <c:pt idx="254">
                        <c:v>0.2989500704868383</c:v>
                      </c:pt>
                      <c:pt idx="255">
                        <c:v>0.29641308008606698</c:v>
                      </c:pt>
                      <c:pt idx="256">
                        <c:v>0.29387105798766744</c:v>
                      </c:pt>
                      <c:pt idx="257">
                        <c:v>0.29132399421210609</c:v>
                      </c:pt>
                      <c:pt idx="258">
                        <c:v>0.28877187876005656</c:v>
                      </c:pt>
                      <c:pt idx="259">
                        <c:v>0.28621470161236051</c:v>
                      </c:pt>
                      <c:pt idx="260">
                        <c:v>0.28365245272998812</c:v>
                      </c:pt>
                      <c:pt idx="261">
                        <c:v>0.28108512205399905</c:v>
                      </c:pt>
                      <c:pt idx="262">
                        <c:v>0.27851269950550261</c:v>
                      </c:pt>
                      <c:pt idx="263">
                        <c:v>0.27593517498561826</c:v>
                      </c:pt>
                      <c:pt idx="264">
                        <c:v>0.27335253837543622</c:v>
                      </c:pt>
                      <c:pt idx="265">
                        <c:v>0.27076477953597727</c:v>
                      </c:pt>
                      <c:pt idx="266">
                        <c:v>0.26817188830815342</c:v>
                      </c:pt>
                      <c:pt idx="267">
                        <c:v>0.26557385451272769</c:v>
                      </c:pt>
                      <c:pt idx="268">
                        <c:v>0.26297066795027441</c:v>
                      </c:pt>
                      <c:pt idx="269">
                        <c:v>0.26036231840113894</c:v>
                      </c:pt>
                      <c:pt idx="270">
                        <c:v>0.2577487956253976</c:v>
                      </c:pt>
                      <c:pt idx="271">
                        <c:v>0.25513008936281778</c:v>
                      </c:pt>
                      <c:pt idx="272">
                        <c:v>0.25250618933281715</c:v>
                      </c:pt>
                      <c:pt idx="273">
                        <c:v>0.24987708523442367</c:v>
                      </c:pt>
                      <c:pt idx="274">
                        <c:v>0.24724276674623505</c:v>
                      </c:pt>
                      <c:pt idx="275">
                        <c:v>0.2446032235263782</c:v>
                      </c:pt>
                      <c:pt idx="276">
                        <c:v>0.24195844521246862</c:v>
                      </c:pt>
                      <c:pt idx="277">
                        <c:v>0.2393084214215698</c:v>
                      </c:pt>
                      <c:pt idx="278">
                        <c:v>0.23665314175015237</c:v>
                      </c:pt>
                      <c:pt idx="279">
                        <c:v>0.23399259577405326</c:v>
                      </c:pt>
                      <c:pt idx="280">
                        <c:v>0.23132677304843494</c:v>
                      </c:pt>
                      <c:pt idx="281">
                        <c:v>0.2286556631077441</c:v>
                      </c:pt>
                      <c:pt idx="282">
                        <c:v>0.22597925546567091</c:v>
                      </c:pt>
                      <c:pt idx="283">
                        <c:v>0.22329753961510759</c:v>
                      </c:pt>
                      <c:pt idx="284">
                        <c:v>0.22061050502810731</c:v>
                      </c:pt>
                      <c:pt idx="285">
                        <c:v>0.21791814115584285</c:v>
                      </c:pt>
                      <c:pt idx="286">
                        <c:v>0.21522043742856506</c:v>
                      </c:pt>
                      <c:pt idx="287">
                        <c:v>0.21251738325556149</c:v>
                      </c:pt>
                      <c:pt idx="288">
                        <c:v>0.20980896802511478</c:v>
                      </c:pt>
                      <c:pt idx="289">
                        <c:v>0.20709518110446104</c:v>
                      </c:pt>
                      <c:pt idx="290">
                        <c:v>0.20437601183974802</c:v>
                      </c:pt>
                      <c:pt idx="291">
                        <c:v>0.20165144955599329</c:v>
                      </c:pt>
                      <c:pt idx="292">
                        <c:v>0.19892148355704245</c:v>
                      </c:pt>
                      <c:pt idx="293">
                        <c:v>0.19618610312552703</c:v>
                      </c:pt>
                      <c:pt idx="294">
                        <c:v>0.19344529752282244</c:v>
                      </c:pt>
                      <c:pt idx="295">
                        <c:v>0.19069905598900583</c:v>
                      </c:pt>
                      <c:pt idx="296">
                        <c:v>0.18794736774281381</c:v>
                      </c:pt>
                      <c:pt idx="297">
                        <c:v>0.18519022198160015</c:v>
                      </c:pt>
                      <c:pt idx="298">
                        <c:v>0.18242760788129345</c:v>
                      </c:pt>
                      <c:pt idx="299">
                        <c:v>0.17965951459635449</c:v>
                      </c:pt>
                      <c:pt idx="300">
                        <c:v>0.1768859312597337</c:v>
                      </c:pt>
                      <c:pt idx="301">
                        <c:v>0.17410684698282863</c:v>
                      </c:pt>
                      <c:pt idx="302">
                        <c:v>0.17132225085544103</c:v>
                      </c:pt>
                      <c:pt idx="303">
                        <c:v>0.1685321319457341</c:v>
                      </c:pt>
                      <c:pt idx="304">
                        <c:v>0.16573647930018962</c:v>
                      </c:pt>
                      <c:pt idx="305">
                        <c:v>0.16293528194356477</c:v>
                      </c:pt>
                      <c:pt idx="306">
                        <c:v>0.16012852887884929</c:v>
                      </c:pt>
                      <c:pt idx="307">
                        <c:v>0.1573162090872221</c:v>
                      </c:pt>
                      <c:pt idx="308">
                        <c:v>0.15449831152800822</c:v>
                      </c:pt>
                      <c:pt idx="309">
                        <c:v>0.15167482513863523</c:v>
                      </c:pt>
                      <c:pt idx="310">
                        <c:v>0.14884573883458999</c:v>
                      </c:pt>
                      <c:pt idx="311">
                        <c:v>0.14601104150937502</c:v>
                      </c:pt>
                      <c:pt idx="312">
                        <c:v>0.1431707220344651</c:v>
                      </c:pt>
                      <c:pt idx="313">
                        <c:v>0.14032476925926324</c:v>
                      </c:pt>
                      <c:pt idx="314">
                        <c:v>0.13747317201105724</c:v>
                      </c:pt>
                      <c:pt idx="315">
                        <c:v>0.13461591909497564</c:v>
                      </c:pt>
                      <c:pt idx="316">
                        <c:v>0.13175299929394377</c:v>
                      </c:pt>
                      <c:pt idx="317">
                        <c:v>0.12888440136863988</c:v>
                      </c:pt>
                      <c:pt idx="318">
                        <c:v>0.1260101140574508</c:v>
                      </c:pt>
                      <c:pt idx="319">
                        <c:v>0.12313012607642787</c:v>
                      </c:pt>
                      <c:pt idx="320">
                        <c:v>0.12024442611924258</c:v>
                      </c:pt>
                      <c:pt idx="321">
                        <c:v>0.1173530028571422</c:v>
                      </c:pt>
                      <c:pt idx="322">
                        <c:v>0.11445584493890532</c:v>
                      </c:pt>
                      <c:pt idx="323">
                        <c:v>0.11155294099079725</c:v>
                      </c:pt>
                      <c:pt idx="324">
                        <c:v>0.10864427961652545</c:v>
                      </c:pt>
                      <c:pt idx="325">
                        <c:v>0.10572984939719469</c:v>
                      </c:pt>
                      <c:pt idx="326">
                        <c:v>0.10280963889126225</c:v>
                      </c:pt>
                      <c:pt idx="327">
                        <c:v>9.9883636634493039E-2</c:v>
                      </c:pt>
                      <c:pt idx="328">
                        <c:v>9.6951831139914568E-2</c:v>
                      </c:pt>
                      <c:pt idx="329">
                        <c:v>9.4014210897771858E-2</c:v>
                      </c:pt>
                      <c:pt idx="330">
                        <c:v>9.1070764375482227E-2</c:v>
                      </c:pt>
                      <c:pt idx="331">
                        <c:v>8.8121480017590043E-2</c:v>
                      </c:pt>
                      <c:pt idx="332">
                        <c:v>8.5166346245721392E-2</c:v>
                      </c:pt>
                      <c:pt idx="333">
                        <c:v>8.2205351458538523E-2</c:v>
                      </c:pt>
                      <c:pt idx="334">
                        <c:v>7.9238484031694423E-2</c:v>
                      </c:pt>
                      <c:pt idx="335">
                        <c:v>7.6265732317787063E-2</c:v>
                      </c:pt>
                      <c:pt idx="336">
                        <c:v>7.3287084646313783E-2</c:v>
                      </c:pt>
                      <c:pt idx="337">
                        <c:v>7.0302529323625421E-2</c:v>
                      </c:pt>
                      <c:pt idx="338">
                        <c:v>6.7312054632880411E-2</c:v>
                      </c:pt>
                      <c:pt idx="339">
                        <c:v>6.4315648833998734E-2</c:v>
                      </c:pt>
                      <c:pt idx="340">
                        <c:v>6.1313300163615955E-2</c:v>
                      </c:pt>
                      <c:pt idx="341">
                        <c:v>5.8304996835036912E-2</c:v>
                      </c:pt>
                      <c:pt idx="342">
                        <c:v>5.5290727038189519E-2</c:v>
                      </c:pt>
                      <c:pt idx="343">
                        <c:v>5.2270478939578383E-2</c:v>
                      </c:pt>
                      <c:pt idx="344">
                        <c:v>4.924424068223833E-2</c:v>
                      </c:pt>
                      <c:pt idx="345">
                        <c:v>4.6212000385687887E-2</c:v>
                      </c:pt>
                      <c:pt idx="346">
                        <c:v>4.3173746145882624E-2</c:v>
                      </c:pt>
                      <c:pt idx="347">
                        <c:v>4.0129466035168405E-2</c:v>
                      </c:pt>
                      <c:pt idx="348">
                        <c:v>3.7079148102234616E-2</c:v>
                      </c:pt>
                      <c:pt idx="349">
                        <c:v>3.4022780372067164E-2</c:v>
                      </c:pt>
                      <c:pt idx="350">
                        <c:v>3.0960350845901551E-2</c:v>
                      </c:pt>
                      <c:pt idx="351">
                        <c:v>2.7891847501175706E-2</c:v>
                      </c:pt>
                      <c:pt idx="352">
                        <c:v>2.4817258291482826E-2</c:v>
                      </c:pt>
                      <c:pt idx="353">
                        <c:v>2.1736571146524053E-2</c:v>
                      </c:pt>
                      <c:pt idx="354">
                        <c:v>1.8649773972061114E-2</c:v>
                      </c:pt>
                      <c:pt idx="355">
                        <c:v>1.555685464986882E-2</c:v>
                      </c:pt>
                      <c:pt idx="356">
                        <c:v>1.2457801037687514E-2</c:v>
                      </c:pt>
                      <c:pt idx="357">
                        <c:v>9.3526009691753814E-3</c:v>
                      </c:pt>
                      <c:pt idx="358">
                        <c:v>6.2412422538606991E-3</c:v>
                      </c:pt>
                      <c:pt idx="359">
                        <c:v>3.1237126770939762E-3</c:v>
                      </c:pt>
                      <c:pt idx="360">
                        <c:v>0</c:v>
                      </c:pt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6-5BD6-4124-8AF1-DBC64C2F8D6C}"/>
                  </c:ext>
                </c:extLst>
              </c15:ser>
            </c15:filteredAreaSeries>
            <c15:filteredAreaSeries>
              <c15:ser>
                <c:idx val="3"/>
                <c:order val="6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Betalingstabel!$D$10</c15:sqref>
                        </c15:formulaRef>
                      </c:ext>
                    </c:extLst>
                    <c:strCache>
                      <c:ptCount val="1"/>
                      <c:pt idx="0">
                        <c:v>Opslag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Betalingstabel!$D$11:$D$371</c15:sqref>
                        </c15:formulaRef>
                      </c:ext>
                    </c:extLst>
                    <c:numCache>
                      <c:formatCode>0.00%</c:formatCode>
                      <c:ptCount val="361"/>
                      <c:pt idx="0">
                        <c:v>3.0000000000000001E-3</c:v>
                      </c:pt>
                      <c:pt idx="1">
                        <c:v>1.5E-3</c:v>
                      </c:pt>
                      <c:pt idx="2">
                        <c:v>1.5E-3</c:v>
                      </c:pt>
                      <c:pt idx="3">
                        <c:v>1.5E-3</c:v>
                      </c:pt>
                      <c:pt idx="4">
                        <c:v>1.5E-3</c:v>
                      </c:pt>
                      <c:pt idx="5">
                        <c:v>1.5E-3</c:v>
                      </c:pt>
                      <c:pt idx="6">
                        <c:v>1.5E-3</c:v>
                      </c:pt>
                      <c:pt idx="7">
                        <c:v>1.5E-3</c:v>
                      </c:pt>
                      <c:pt idx="8">
                        <c:v>1.5E-3</c:v>
                      </c:pt>
                      <c:pt idx="9">
                        <c:v>1.5E-3</c:v>
                      </c:pt>
                      <c:pt idx="10">
                        <c:v>1.5E-3</c:v>
                      </c:pt>
                      <c:pt idx="11">
                        <c:v>1.5E-3</c:v>
                      </c:pt>
                      <c:pt idx="12">
                        <c:v>1.5E-3</c:v>
                      </c:pt>
                      <c:pt idx="13">
                        <c:v>1.5E-3</c:v>
                      </c:pt>
                      <c:pt idx="14">
                        <c:v>1.5E-3</c:v>
                      </c:pt>
                      <c:pt idx="15">
                        <c:v>1.5E-3</c:v>
                      </c:pt>
                      <c:pt idx="16">
                        <c:v>1.5E-3</c:v>
                      </c:pt>
                      <c:pt idx="17">
                        <c:v>1.5E-3</c:v>
                      </c:pt>
                      <c:pt idx="18">
                        <c:v>1.5E-3</c:v>
                      </c:pt>
                      <c:pt idx="19">
                        <c:v>1.5E-3</c:v>
                      </c:pt>
                      <c:pt idx="20">
                        <c:v>1.5E-3</c:v>
                      </c:pt>
                      <c:pt idx="21">
                        <c:v>1.5E-3</c:v>
                      </c:pt>
                      <c:pt idx="22">
                        <c:v>1.5E-3</c:v>
                      </c:pt>
                      <c:pt idx="23">
                        <c:v>1.5E-3</c:v>
                      </c:pt>
                      <c:pt idx="24">
                        <c:v>1.5E-3</c:v>
                      </c:pt>
                      <c:pt idx="25">
                        <c:v>1.5E-3</c:v>
                      </c:pt>
                      <c:pt idx="26">
                        <c:v>1.5E-3</c:v>
                      </c:pt>
                      <c:pt idx="27">
                        <c:v>1.5E-3</c:v>
                      </c:pt>
                      <c:pt idx="28">
                        <c:v>1.5E-3</c:v>
                      </c:pt>
                      <c:pt idx="29">
                        <c:v>1.5E-3</c:v>
                      </c:pt>
                      <c:pt idx="30">
                        <c:v>1.5E-3</c:v>
                      </c:pt>
                      <c:pt idx="31">
                        <c:v>1.5E-3</c:v>
                      </c:pt>
                      <c:pt idx="32">
                        <c:v>1.5E-3</c:v>
                      </c:pt>
                      <c:pt idx="33">
                        <c:v>1.5E-3</c:v>
                      </c:pt>
                      <c:pt idx="34">
                        <c:v>1.5E-3</c:v>
                      </c:pt>
                      <c:pt idx="35">
                        <c:v>1.5E-3</c:v>
                      </c:pt>
                      <c:pt idx="36">
                        <c:v>1.5E-3</c:v>
                      </c:pt>
                      <c:pt idx="37">
                        <c:v>1.5E-3</c:v>
                      </c:pt>
                      <c:pt idx="38">
                        <c:v>1.5E-3</c:v>
                      </c:pt>
                      <c:pt idx="39">
                        <c:v>1.5E-3</c:v>
                      </c:pt>
                      <c:pt idx="40">
                        <c:v>1.5E-3</c:v>
                      </c:pt>
                      <c:pt idx="41">
                        <c:v>1.5E-3</c:v>
                      </c:pt>
                      <c:pt idx="42">
                        <c:v>1.5E-3</c:v>
                      </c:pt>
                      <c:pt idx="43">
                        <c:v>1.5E-3</c:v>
                      </c:pt>
                      <c:pt idx="44">
                        <c:v>1.5E-3</c:v>
                      </c:pt>
                      <c:pt idx="45">
                        <c:v>1.5E-3</c:v>
                      </c:pt>
                      <c:pt idx="46">
                        <c:v>1.5E-3</c:v>
                      </c:pt>
                      <c:pt idx="47">
                        <c:v>1.5E-3</c:v>
                      </c:pt>
                      <c:pt idx="48">
                        <c:v>1.5E-3</c:v>
                      </c:pt>
                      <c:pt idx="49">
                        <c:v>1.5E-3</c:v>
                      </c:pt>
                      <c:pt idx="50">
                        <c:v>1.5E-3</c:v>
                      </c:pt>
                      <c:pt idx="51">
                        <c:v>1.5E-3</c:v>
                      </c:pt>
                      <c:pt idx="52">
                        <c:v>1.5E-3</c:v>
                      </c:pt>
                      <c:pt idx="53">
                        <c:v>1.5E-3</c:v>
                      </c:pt>
                      <c:pt idx="54">
                        <c:v>1.5E-3</c:v>
                      </c:pt>
                      <c:pt idx="55">
                        <c:v>1.5E-3</c:v>
                      </c:pt>
                      <c:pt idx="56">
                        <c:v>1.5E-3</c:v>
                      </c:pt>
                      <c:pt idx="57">
                        <c:v>1.5E-3</c:v>
                      </c:pt>
                      <c:pt idx="58">
                        <c:v>1.5E-3</c:v>
                      </c:pt>
                      <c:pt idx="59">
                        <c:v>1.5E-3</c:v>
                      </c:pt>
                      <c:pt idx="60">
                        <c:v>1.5E-3</c:v>
                      </c:pt>
                      <c:pt idx="61">
                        <c:v>1.5E-3</c:v>
                      </c:pt>
                      <c:pt idx="62">
                        <c:v>1.5E-3</c:v>
                      </c:pt>
                      <c:pt idx="63">
                        <c:v>1.5E-3</c:v>
                      </c:pt>
                      <c:pt idx="64">
                        <c:v>1.5E-3</c:v>
                      </c:pt>
                      <c:pt idx="65">
                        <c:v>1.5E-3</c:v>
                      </c:pt>
                      <c:pt idx="66">
                        <c:v>1.5E-3</c:v>
                      </c:pt>
                      <c:pt idx="67">
                        <c:v>1.5E-3</c:v>
                      </c:pt>
                      <c:pt idx="68">
                        <c:v>1.5E-3</c:v>
                      </c:pt>
                      <c:pt idx="69">
                        <c:v>1.5E-3</c:v>
                      </c:pt>
                      <c:pt idx="70">
                        <c:v>1.5E-3</c:v>
                      </c:pt>
                      <c:pt idx="71">
                        <c:v>1.5E-3</c:v>
                      </c:pt>
                      <c:pt idx="72">
                        <c:v>1.5E-3</c:v>
                      </c:pt>
                      <c:pt idx="73">
                        <c:v>1.5E-3</c:v>
                      </c:pt>
                      <c:pt idx="74">
                        <c:v>1.5E-3</c:v>
                      </c:pt>
                      <c:pt idx="75">
                        <c:v>1.5E-3</c:v>
                      </c:pt>
                      <c:pt idx="76">
                        <c:v>1.5E-3</c:v>
                      </c:pt>
                      <c:pt idx="77">
                        <c:v>1.5E-3</c:v>
                      </c:pt>
                      <c:pt idx="78">
                        <c:v>1.5E-3</c:v>
                      </c:pt>
                      <c:pt idx="79">
                        <c:v>1.5E-3</c:v>
                      </c:pt>
                      <c:pt idx="80">
                        <c:v>1.5E-3</c:v>
                      </c:pt>
                      <c:pt idx="81">
                        <c:v>1.5E-3</c:v>
                      </c:pt>
                      <c:pt idx="82">
                        <c:v>1.5E-3</c:v>
                      </c:pt>
                      <c:pt idx="83">
                        <c:v>1.5E-3</c:v>
                      </c:pt>
                      <c:pt idx="84">
                        <c:v>1.5E-3</c:v>
                      </c:pt>
                      <c:pt idx="85">
                        <c:v>1.5E-3</c:v>
                      </c:pt>
                      <c:pt idx="86">
                        <c:v>1.5E-3</c:v>
                      </c:pt>
                      <c:pt idx="87">
                        <c:v>1.5E-3</c:v>
                      </c:pt>
                      <c:pt idx="88">
                        <c:v>1.5E-3</c:v>
                      </c:pt>
                      <c:pt idx="89">
                        <c:v>1.5E-3</c:v>
                      </c:pt>
                      <c:pt idx="90">
                        <c:v>1.5E-3</c:v>
                      </c:pt>
                      <c:pt idx="91">
                        <c:v>1.5E-3</c:v>
                      </c:pt>
                      <c:pt idx="92">
                        <c:v>1.5E-3</c:v>
                      </c:pt>
                      <c:pt idx="93">
                        <c:v>1.5E-3</c:v>
                      </c:pt>
                      <c:pt idx="94">
                        <c:v>1.5E-3</c:v>
                      </c:pt>
                      <c:pt idx="95">
                        <c:v>1.5E-3</c:v>
                      </c:pt>
                      <c:pt idx="96">
                        <c:v>1.5E-3</c:v>
                      </c:pt>
                      <c:pt idx="97">
                        <c:v>1.5E-3</c:v>
                      </c:pt>
                      <c:pt idx="98">
                        <c:v>1.5E-3</c:v>
                      </c:pt>
                      <c:pt idx="99">
                        <c:v>1.5E-3</c:v>
                      </c:pt>
                      <c:pt idx="100">
                        <c:v>1.5E-3</c:v>
                      </c:pt>
                      <c:pt idx="101">
                        <c:v>1.5E-3</c:v>
                      </c:pt>
                      <c:pt idx="102">
                        <c:v>1.5E-3</c:v>
                      </c:pt>
                      <c:pt idx="103">
                        <c:v>1.5E-3</c:v>
                      </c:pt>
                      <c:pt idx="104">
                        <c:v>1.5E-3</c:v>
                      </c:pt>
                      <c:pt idx="105">
                        <c:v>1.5E-3</c:v>
                      </c:pt>
                      <c:pt idx="106">
                        <c:v>1.5E-3</c:v>
                      </c:pt>
                      <c:pt idx="107">
                        <c:v>1.5E-3</c:v>
                      </c:pt>
                      <c:pt idx="108">
                        <c:v>1.5E-3</c:v>
                      </c:pt>
                      <c:pt idx="109">
                        <c:v>1.5E-3</c:v>
                      </c:pt>
                      <c:pt idx="110">
                        <c:v>1.5E-3</c:v>
                      </c:pt>
                      <c:pt idx="111">
                        <c:v>1.5E-3</c:v>
                      </c:pt>
                      <c:pt idx="112">
                        <c:v>1.5E-3</c:v>
                      </c:pt>
                      <c:pt idx="113">
                        <c:v>1.5E-3</c:v>
                      </c:pt>
                      <c:pt idx="114">
                        <c:v>1.5E-3</c:v>
                      </c:pt>
                      <c:pt idx="115">
                        <c:v>1.5E-3</c:v>
                      </c:pt>
                      <c:pt idx="116">
                        <c:v>1.5E-3</c:v>
                      </c:pt>
                      <c:pt idx="117">
                        <c:v>1.5E-3</c:v>
                      </c:pt>
                      <c:pt idx="118">
                        <c:v>1.5E-3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4">
                        <c:v>0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0</c:v>
                      </c:pt>
                      <c:pt idx="130">
                        <c:v>0</c:v>
                      </c:pt>
                      <c:pt idx="131">
                        <c:v>0</c:v>
                      </c:pt>
                      <c:pt idx="132">
                        <c:v>0</c:v>
                      </c:pt>
                      <c:pt idx="133">
                        <c:v>0</c:v>
                      </c:pt>
                      <c:pt idx="134">
                        <c:v>0</c:v>
                      </c:pt>
                      <c:pt idx="135">
                        <c:v>0</c:v>
                      </c:pt>
                      <c:pt idx="136">
                        <c:v>0</c:v>
                      </c:pt>
                      <c:pt idx="137">
                        <c:v>0</c:v>
                      </c:pt>
                      <c:pt idx="138">
                        <c:v>0</c:v>
                      </c:pt>
                      <c:pt idx="139">
                        <c:v>0</c:v>
                      </c:pt>
                      <c:pt idx="140">
                        <c:v>0</c:v>
                      </c:pt>
                      <c:pt idx="141">
                        <c:v>0</c:v>
                      </c:pt>
                      <c:pt idx="142">
                        <c:v>0</c:v>
                      </c:pt>
                      <c:pt idx="143">
                        <c:v>0</c:v>
                      </c:pt>
                      <c:pt idx="144">
                        <c:v>0</c:v>
                      </c:pt>
                      <c:pt idx="145">
                        <c:v>0</c:v>
                      </c:pt>
                      <c:pt idx="146">
                        <c:v>0</c:v>
                      </c:pt>
                      <c:pt idx="147">
                        <c:v>0</c:v>
                      </c:pt>
                      <c:pt idx="148">
                        <c:v>0</c:v>
                      </c:pt>
                      <c:pt idx="149">
                        <c:v>0</c:v>
                      </c:pt>
                      <c:pt idx="150">
                        <c:v>0</c:v>
                      </c:pt>
                      <c:pt idx="151">
                        <c:v>0</c:v>
                      </c:pt>
                      <c:pt idx="152">
                        <c:v>0</c:v>
                      </c:pt>
                      <c:pt idx="153">
                        <c:v>0</c:v>
                      </c:pt>
                      <c:pt idx="154">
                        <c:v>0</c:v>
                      </c:pt>
                      <c:pt idx="155">
                        <c:v>0</c:v>
                      </c:pt>
                      <c:pt idx="156">
                        <c:v>0</c:v>
                      </c:pt>
                      <c:pt idx="157">
                        <c:v>0</c:v>
                      </c:pt>
                      <c:pt idx="158">
                        <c:v>0</c:v>
                      </c:pt>
                      <c:pt idx="159">
                        <c:v>0</c:v>
                      </c:pt>
                      <c:pt idx="160">
                        <c:v>0</c:v>
                      </c:pt>
                      <c:pt idx="161">
                        <c:v>0</c:v>
                      </c:pt>
                      <c:pt idx="162">
                        <c:v>0</c:v>
                      </c:pt>
                      <c:pt idx="163">
                        <c:v>0</c:v>
                      </c:pt>
                      <c:pt idx="164">
                        <c:v>0</c:v>
                      </c:pt>
                      <c:pt idx="165">
                        <c:v>0</c:v>
                      </c:pt>
                      <c:pt idx="166">
                        <c:v>0</c:v>
                      </c:pt>
                      <c:pt idx="167">
                        <c:v>0</c:v>
                      </c:pt>
                      <c:pt idx="168">
                        <c:v>0</c:v>
                      </c:pt>
                      <c:pt idx="169">
                        <c:v>0</c:v>
                      </c:pt>
                      <c:pt idx="170">
                        <c:v>0</c:v>
                      </c:pt>
                      <c:pt idx="171">
                        <c:v>0</c:v>
                      </c:pt>
                      <c:pt idx="172">
                        <c:v>0</c:v>
                      </c:pt>
                      <c:pt idx="173">
                        <c:v>0</c:v>
                      </c:pt>
                      <c:pt idx="174">
                        <c:v>0</c:v>
                      </c:pt>
                      <c:pt idx="175">
                        <c:v>0</c:v>
                      </c:pt>
                      <c:pt idx="176">
                        <c:v>0</c:v>
                      </c:pt>
                      <c:pt idx="177">
                        <c:v>0</c:v>
                      </c:pt>
                      <c:pt idx="178">
                        <c:v>0</c:v>
                      </c:pt>
                      <c:pt idx="179">
                        <c:v>0</c:v>
                      </c:pt>
                      <c:pt idx="180">
                        <c:v>0</c:v>
                      </c:pt>
                      <c:pt idx="181">
                        <c:v>0</c:v>
                      </c:pt>
                      <c:pt idx="182">
                        <c:v>0</c:v>
                      </c:pt>
                      <c:pt idx="183">
                        <c:v>0</c:v>
                      </c:pt>
                      <c:pt idx="184">
                        <c:v>0</c:v>
                      </c:pt>
                      <c:pt idx="185">
                        <c:v>0</c:v>
                      </c:pt>
                      <c:pt idx="186">
                        <c:v>0</c:v>
                      </c:pt>
                      <c:pt idx="187">
                        <c:v>0</c:v>
                      </c:pt>
                      <c:pt idx="188">
                        <c:v>0</c:v>
                      </c:pt>
                      <c:pt idx="189">
                        <c:v>0</c:v>
                      </c:pt>
                      <c:pt idx="190">
                        <c:v>0</c:v>
                      </c:pt>
                      <c:pt idx="191">
                        <c:v>0</c:v>
                      </c:pt>
                      <c:pt idx="192">
                        <c:v>0</c:v>
                      </c:pt>
                      <c:pt idx="193">
                        <c:v>0</c:v>
                      </c:pt>
                      <c:pt idx="194">
                        <c:v>0</c:v>
                      </c:pt>
                      <c:pt idx="195">
                        <c:v>0</c:v>
                      </c:pt>
                      <c:pt idx="196">
                        <c:v>0</c:v>
                      </c:pt>
                      <c:pt idx="197">
                        <c:v>0</c:v>
                      </c:pt>
                      <c:pt idx="198">
                        <c:v>0</c:v>
                      </c:pt>
                      <c:pt idx="199">
                        <c:v>0</c:v>
                      </c:pt>
                      <c:pt idx="200">
                        <c:v>0</c:v>
                      </c:pt>
                      <c:pt idx="201">
                        <c:v>0</c:v>
                      </c:pt>
                      <c:pt idx="202">
                        <c:v>0</c:v>
                      </c:pt>
                      <c:pt idx="203">
                        <c:v>0</c:v>
                      </c:pt>
                      <c:pt idx="204">
                        <c:v>0</c:v>
                      </c:pt>
                      <c:pt idx="205">
                        <c:v>0</c:v>
                      </c:pt>
                      <c:pt idx="206">
                        <c:v>0</c:v>
                      </c:pt>
                      <c:pt idx="207">
                        <c:v>0</c:v>
                      </c:pt>
                      <c:pt idx="208">
                        <c:v>0</c:v>
                      </c:pt>
                      <c:pt idx="209">
                        <c:v>0</c:v>
                      </c:pt>
                      <c:pt idx="210">
                        <c:v>0</c:v>
                      </c:pt>
                      <c:pt idx="211">
                        <c:v>0</c:v>
                      </c:pt>
                      <c:pt idx="212">
                        <c:v>0</c:v>
                      </c:pt>
                      <c:pt idx="213">
                        <c:v>0</c:v>
                      </c:pt>
                      <c:pt idx="214">
                        <c:v>0</c:v>
                      </c:pt>
                      <c:pt idx="215">
                        <c:v>0</c:v>
                      </c:pt>
                      <c:pt idx="216">
                        <c:v>0</c:v>
                      </c:pt>
                      <c:pt idx="217">
                        <c:v>0</c:v>
                      </c:pt>
                      <c:pt idx="218">
                        <c:v>0</c:v>
                      </c:pt>
                      <c:pt idx="219">
                        <c:v>0</c:v>
                      </c:pt>
                      <c:pt idx="220">
                        <c:v>0</c:v>
                      </c:pt>
                      <c:pt idx="221">
                        <c:v>0</c:v>
                      </c:pt>
                      <c:pt idx="222">
                        <c:v>0</c:v>
                      </c:pt>
                      <c:pt idx="223">
                        <c:v>0</c:v>
                      </c:pt>
                      <c:pt idx="224">
                        <c:v>0</c:v>
                      </c:pt>
                      <c:pt idx="225">
                        <c:v>0</c:v>
                      </c:pt>
                      <c:pt idx="226">
                        <c:v>0</c:v>
                      </c:pt>
                      <c:pt idx="227">
                        <c:v>0</c:v>
                      </c:pt>
                      <c:pt idx="228">
                        <c:v>0</c:v>
                      </c:pt>
                      <c:pt idx="229">
                        <c:v>0</c:v>
                      </c:pt>
                      <c:pt idx="230">
                        <c:v>0</c:v>
                      </c:pt>
                      <c:pt idx="231">
                        <c:v>0</c:v>
                      </c:pt>
                      <c:pt idx="232">
                        <c:v>0</c:v>
                      </c:pt>
                      <c:pt idx="233">
                        <c:v>0</c:v>
                      </c:pt>
                      <c:pt idx="234">
                        <c:v>0</c:v>
                      </c:pt>
                      <c:pt idx="235">
                        <c:v>0</c:v>
                      </c:pt>
                      <c:pt idx="236">
                        <c:v>0</c:v>
                      </c:pt>
                      <c:pt idx="237">
                        <c:v>0</c:v>
                      </c:pt>
                      <c:pt idx="238">
                        <c:v>0</c:v>
                      </c:pt>
                      <c:pt idx="239">
                        <c:v>0</c:v>
                      </c:pt>
                      <c:pt idx="240">
                        <c:v>0</c:v>
                      </c:pt>
                      <c:pt idx="241">
                        <c:v>0</c:v>
                      </c:pt>
                      <c:pt idx="242">
                        <c:v>0</c:v>
                      </c:pt>
                      <c:pt idx="243">
                        <c:v>0</c:v>
                      </c:pt>
                      <c:pt idx="244">
                        <c:v>0</c:v>
                      </c:pt>
                      <c:pt idx="245">
                        <c:v>0</c:v>
                      </c:pt>
                      <c:pt idx="246">
                        <c:v>0</c:v>
                      </c:pt>
                      <c:pt idx="247">
                        <c:v>0</c:v>
                      </c:pt>
                      <c:pt idx="248">
                        <c:v>0</c:v>
                      </c:pt>
                      <c:pt idx="249">
                        <c:v>0</c:v>
                      </c:pt>
                      <c:pt idx="250">
                        <c:v>0</c:v>
                      </c:pt>
                      <c:pt idx="251">
                        <c:v>0</c:v>
                      </c:pt>
                      <c:pt idx="252">
                        <c:v>0</c:v>
                      </c:pt>
                      <c:pt idx="253">
                        <c:v>0</c:v>
                      </c:pt>
                      <c:pt idx="254">
                        <c:v>0</c:v>
                      </c:pt>
                      <c:pt idx="255">
                        <c:v>0</c:v>
                      </c:pt>
                      <c:pt idx="256">
                        <c:v>0</c:v>
                      </c:pt>
                      <c:pt idx="257">
                        <c:v>0</c:v>
                      </c:pt>
                      <c:pt idx="258">
                        <c:v>0</c:v>
                      </c:pt>
                      <c:pt idx="259">
                        <c:v>0</c:v>
                      </c:pt>
                      <c:pt idx="260">
                        <c:v>0</c:v>
                      </c:pt>
                      <c:pt idx="261">
                        <c:v>0</c:v>
                      </c:pt>
                      <c:pt idx="262">
                        <c:v>0</c:v>
                      </c:pt>
                      <c:pt idx="263">
                        <c:v>0</c:v>
                      </c:pt>
                      <c:pt idx="264">
                        <c:v>0</c:v>
                      </c:pt>
                      <c:pt idx="265">
                        <c:v>0</c:v>
                      </c:pt>
                      <c:pt idx="266">
                        <c:v>0</c:v>
                      </c:pt>
                      <c:pt idx="267">
                        <c:v>0</c:v>
                      </c:pt>
                      <c:pt idx="268">
                        <c:v>0</c:v>
                      </c:pt>
                      <c:pt idx="269">
                        <c:v>0</c:v>
                      </c:pt>
                      <c:pt idx="270">
                        <c:v>0</c:v>
                      </c:pt>
                      <c:pt idx="271">
                        <c:v>0</c:v>
                      </c:pt>
                      <c:pt idx="272">
                        <c:v>0</c:v>
                      </c:pt>
                      <c:pt idx="273">
                        <c:v>0</c:v>
                      </c:pt>
                      <c:pt idx="274">
                        <c:v>0</c:v>
                      </c:pt>
                      <c:pt idx="275">
                        <c:v>0</c:v>
                      </c:pt>
                      <c:pt idx="276">
                        <c:v>0</c:v>
                      </c:pt>
                      <c:pt idx="277">
                        <c:v>0</c:v>
                      </c:pt>
                      <c:pt idx="278">
                        <c:v>0</c:v>
                      </c:pt>
                      <c:pt idx="279">
                        <c:v>0</c:v>
                      </c:pt>
                      <c:pt idx="280">
                        <c:v>0</c:v>
                      </c:pt>
                      <c:pt idx="281">
                        <c:v>0</c:v>
                      </c:pt>
                      <c:pt idx="282">
                        <c:v>0</c:v>
                      </c:pt>
                      <c:pt idx="283">
                        <c:v>0</c:v>
                      </c:pt>
                      <c:pt idx="284">
                        <c:v>0</c:v>
                      </c:pt>
                      <c:pt idx="285">
                        <c:v>0</c:v>
                      </c:pt>
                      <c:pt idx="286">
                        <c:v>0</c:v>
                      </c:pt>
                      <c:pt idx="287">
                        <c:v>0</c:v>
                      </c:pt>
                      <c:pt idx="288">
                        <c:v>0</c:v>
                      </c:pt>
                      <c:pt idx="289">
                        <c:v>0</c:v>
                      </c:pt>
                      <c:pt idx="290">
                        <c:v>0</c:v>
                      </c:pt>
                      <c:pt idx="291">
                        <c:v>0</c:v>
                      </c:pt>
                      <c:pt idx="292">
                        <c:v>0</c:v>
                      </c:pt>
                      <c:pt idx="293">
                        <c:v>0</c:v>
                      </c:pt>
                      <c:pt idx="294">
                        <c:v>0</c:v>
                      </c:pt>
                      <c:pt idx="295">
                        <c:v>0</c:v>
                      </c:pt>
                      <c:pt idx="296">
                        <c:v>0</c:v>
                      </c:pt>
                      <c:pt idx="297">
                        <c:v>0</c:v>
                      </c:pt>
                      <c:pt idx="298">
                        <c:v>0</c:v>
                      </c:pt>
                      <c:pt idx="299">
                        <c:v>0</c:v>
                      </c:pt>
                      <c:pt idx="300">
                        <c:v>0</c:v>
                      </c:pt>
                      <c:pt idx="301">
                        <c:v>0</c:v>
                      </c:pt>
                      <c:pt idx="302">
                        <c:v>0</c:v>
                      </c:pt>
                      <c:pt idx="303">
                        <c:v>0</c:v>
                      </c:pt>
                      <c:pt idx="304">
                        <c:v>0</c:v>
                      </c:pt>
                      <c:pt idx="305">
                        <c:v>0</c:v>
                      </c:pt>
                      <c:pt idx="306">
                        <c:v>0</c:v>
                      </c:pt>
                      <c:pt idx="307">
                        <c:v>0</c:v>
                      </c:pt>
                      <c:pt idx="308">
                        <c:v>0</c:v>
                      </c:pt>
                      <c:pt idx="309">
                        <c:v>0</c:v>
                      </c:pt>
                      <c:pt idx="310">
                        <c:v>0</c:v>
                      </c:pt>
                      <c:pt idx="311">
                        <c:v>0</c:v>
                      </c:pt>
                      <c:pt idx="312">
                        <c:v>0</c:v>
                      </c:pt>
                      <c:pt idx="313">
                        <c:v>0</c:v>
                      </c:pt>
                      <c:pt idx="314">
                        <c:v>0</c:v>
                      </c:pt>
                      <c:pt idx="315">
                        <c:v>0</c:v>
                      </c:pt>
                      <c:pt idx="316">
                        <c:v>0</c:v>
                      </c:pt>
                      <c:pt idx="317">
                        <c:v>0</c:v>
                      </c:pt>
                      <c:pt idx="318">
                        <c:v>0</c:v>
                      </c:pt>
                      <c:pt idx="319">
                        <c:v>0</c:v>
                      </c:pt>
                      <c:pt idx="320">
                        <c:v>0</c:v>
                      </c:pt>
                      <c:pt idx="321">
                        <c:v>0</c:v>
                      </c:pt>
                      <c:pt idx="322">
                        <c:v>0</c:v>
                      </c:pt>
                      <c:pt idx="323">
                        <c:v>0</c:v>
                      </c:pt>
                      <c:pt idx="324">
                        <c:v>0</c:v>
                      </c:pt>
                      <c:pt idx="325">
                        <c:v>0</c:v>
                      </c:pt>
                      <c:pt idx="326">
                        <c:v>0</c:v>
                      </c:pt>
                      <c:pt idx="327">
                        <c:v>0</c:v>
                      </c:pt>
                      <c:pt idx="328">
                        <c:v>0</c:v>
                      </c:pt>
                      <c:pt idx="329">
                        <c:v>0</c:v>
                      </c:pt>
                      <c:pt idx="330">
                        <c:v>0</c:v>
                      </c:pt>
                      <c:pt idx="331">
                        <c:v>0</c:v>
                      </c:pt>
                      <c:pt idx="332">
                        <c:v>0</c:v>
                      </c:pt>
                      <c:pt idx="333">
                        <c:v>0</c:v>
                      </c:pt>
                      <c:pt idx="334">
                        <c:v>0</c:v>
                      </c:pt>
                      <c:pt idx="335">
                        <c:v>0</c:v>
                      </c:pt>
                      <c:pt idx="336">
                        <c:v>0</c:v>
                      </c:pt>
                      <c:pt idx="337">
                        <c:v>0</c:v>
                      </c:pt>
                      <c:pt idx="338">
                        <c:v>0</c:v>
                      </c:pt>
                      <c:pt idx="339">
                        <c:v>0</c:v>
                      </c:pt>
                      <c:pt idx="340">
                        <c:v>0</c:v>
                      </c:pt>
                      <c:pt idx="341">
                        <c:v>0</c:v>
                      </c:pt>
                      <c:pt idx="342">
                        <c:v>0</c:v>
                      </c:pt>
                      <c:pt idx="343">
                        <c:v>0</c:v>
                      </c:pt>
                      <c:pt idx="344">
                        <c:v>0</c:v>
                      </c:pt>
                      <c:pt idx="345">
                        <c:v>0</c:v>
                      </c:pt>
                      <c:pt idx="346">
                        <c:v>0</c:v>
                      </c:pt>
                      <c:pt idx="347">
                        <c:v>0</c:v>
                      </c:pt>
                      <c:pt idx="348">
                        <c:v>0</c:v>
                      </c:pt>
                      <c:pt idx="349">
                        <c:v>0</c:v>
                      </c:pt>
                      <c:pt idx="350">
                        <c:v>0</c:v>
                      </c:pt>
                      <c:pt idx="351">
                        <c:v>0</c:v>
                      </c:pt>
                      <c:pt idx="352">
                        <c:v>0</c:v>
                      </c:pt>
                      <c:pt idx="353">
                        <c:v>0</c:v>
                      </c:pt>
                      <c:pt idx="354">
                        <c:v>0</c:v>
                      </c:pt>
                      <c:pt idx="355">
                        <c:v>0</c:v>
                      </c:pt>
                      <c:pt idx="356">
                        <c:v>0</c:v>
                      </c:pt>
                      <c:pt idx="357">
                        <c:v>0</c:v>
                      </c:pt>
                      <c:pt idx="358">
                        <c:v>0</c:v>
                      </c:pt>
                      <c:pt idx="359">
                        <c:v>0</c:v>
                      </c:pt>
                      <c:pt idx="360">
                        <c:v>0</c:v>
                      </c:pt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7-5BD6-4124-8AF1-DBC64C2F8D6C}"/>
                  </c:ext>
                </c:extLst>
              </c15:ser>
            </c15:filteredAreaSeries>
            <c15:filteredAreaSeries>
              <c15:ser>
                <c:idx val="4"/>
                <c:order val="7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Betalingstabel!$E$10</c15:sqref>
                        </c15:formulaRef>
                      </c:ext>
                    </c:extLst>
                    <c:strCache>
                      <c:ptCount val="1"/>
                      <c:pt idx="0">
                        <c:v>Rente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Betalingstabel!$E$11:$E$371</c15:sqref>
                        </c15:formulaRef>
                      </c:ext>
                    </c:extLst>
                    <c:numCache>
                      <c:formatCode>0.00%</c:formatCode>
                      <c:ptCount val="361"/>
                      <c:pt idx="0">
                        <c:v>2.6800000000000001E-2</c:v>
                      </c:pt>
                      <c:pt idx="1">
                        <c:v>2.5300000000000003E-2</c:v>
                      </c:pt>
                      <c:pt idx="2">
                        <c:v>2.5300000000000003E-2</c:v>
                      </c:pt>
                      <c:pt idx="3">
                        <c:v>2.5300000000000003E-2</c:v>
                      </c:pt>
                      <c:pt idx="4">
                        <c:v>2.5300000000000003E-2</c:v>
                      </c:pt>
                      <c:pt idx="5">
                        <c:v>2.5300000000000003E-2</c:v>
                      </c:pt>
                      <c:pt idx="6">
                        <c:v>2.5300000000000003E-2</c:v>
                      </c:pt>
                      <c:pt idx="7">
                        <c:v>2.5300000000000003E-2</c:v>
                      </c:pt>
                      <c:pt idx="8">
                        <c:v>2.5300000000000003E-2</c:v>
                      </c:pt>
                      <c:pt idx="9">
                        <c:v>2.5300000000000003E-2</c:v>
                      </c:pt>
                      <c:pt idx="10">
                        <c:v>2.5300000000000003E-2</c:v>
                      </c:pt>
                      <c:pt idx="11">
                        <c:v>2.5300000000000003E-2</c:v>
                      </c:pt>
                      <c:pt idx="12">
                        <c:v>2.5300000000000003E-2</c:v>
                      </c:pt>
                      <c:pt idx="13">
                        <c:v>2.5300000000000003E-2</c:v>
                      </c:pt>
                      <c:pt idx="14">
                        <c:v>2.5300000000000003E-2</c:v>
                      </c:pt>
                      <c:pt idx="15">
                        <c:v>2.5300000000000003E-2</c:v>
                      </c:pt>
                      <c:pt idx="16">
                        <c:v>2.5300000000000003E-2</c:v>
                      </c:pt>
                      <c:pt idx="17">
                        <c:v>2.5300000000000003E-2</c:v>
                      </c:pt>
                      <c:pt idx="18">
                        <c:v>2.5300000000000003E-2</c:v>
                      </c:pt>
                      <c:pt idx="19">
                        <c:v>2.5300000000000003E-2</c:v>
                      </c:pt>
                      <c:pt idx="20">
                        <c:v>2.5300000000000003E-2</c:v>
                      </c:pt>
                      <c:pt idx="21">
                        <c:v>2.5300000000000003E-2</c:v>
                      </c:pt>
                      <c:pt idx="22">
                        <c:v>2.5300000000000003E-2</c:v>
                      </c:pt>
                      <c:pt idx="23">
                        <c:v>2.5300000000000003E-2</c:v>
                      </c:pt>
                      <c:pt idx="24">
                        <c:v>2.5300000000000003E-2</c:v>
                      </c:pt>
                      <c:pt idx="25">
                        <c:v>2.5300000000000003E-2</c:v>
                      </c:pt>
                      <c:pt idx="26">
                        <c:v>2.5300000000000003E-2</c:v>
                      </c:pt>
                      <c:pt idx="27">
                        <c:v>2.5300000000000003E-2</c:v>
                      </c:pt>
                      <c:pt idx="28">
                        <c:v>2.5300000000000003E-2</c:v>
                      </c:pt>
                      <c:pt idx="29">
                        <c:v>2.5300000000000003E-2</c:v>
                      </c:pt>
                      <c:pt idx="30">
                        <c:v>2.5300000000000003E-2</c:v>
                      </c:pt>
                      <c:pt idx="31">
                        <c:v>2.5300000000000003E-2</c:v>
                      </c:pt>
                      <c:pt idx="32">
                        <c:v>2.5300000000000003E-2</c:v>
                      </c:pt>
                      <c:pt idx="33">
                        <c:v>2.5300000000000003E-2</c:v>
                      </c:pt>
                      <c:pt idx="34">
                        <c:v>2.5300000000000003E-2</c:v>
                      </c:pt>
                      <c:pt idx="35">
                        <c:v>2.5300000000000003E-2</c:v>
                      </c:pt>
                      <c:pt idx="36">
                        <c:v>2.5300000000000003E-2</c:v>
                      </c:pt>
                      <c:pt idx="37">
                        <c:v>2.5300000000000003E-2</c:v>
                      </c:pt>
                      <c:pt idx="38">
                        <c:v>2.5300000000000003E-2</c:v>
                      </c:pt>
                      <c:pt idx="39">
                        <c:v>2.5300000000000003E-2</c:v>
                      </c:pt>
                      <c:pt idx="40">
                        <c:v>2.5300000000000003E-2</c:v>
                      </c:pt>
                      <c:pt idx="41">
                        <c:v>2.5300000000000003E-2</c:v>
                      </c:pt>
                      <c:pt idx="42">
                        <c:v>2.5300000000000003E-2</c:v>
                      </c:pt>
                      <c:pt idx="43">
                        <c:v>2.5300000000000003E-2</c:v>
                      </c:pt>
                      <c:pt idx="44">
                        <c:v>2.5300000000000003E-2</c:v>
                      </c:pt>
                      <c:pt idx="45">
                        <c:v>2.5300000000000003E-2</c:v>
                      </c:pt>
                      <c:pt idx="46">
                        <c:v>2.5300000000000003E-2</c:v>
                      </c:pt>
                      <c:pt idx="47">
                        <c:v>2.5300000000000003E-2</c:v>
                      </c:pt>
                      <c:pt idx="48">
                        <c:v>2.5300000000000003E-2</c:v>
                      </c:pt>
                      <c:pt idx="49">
                        <c:v>2.5300000000000003E-2</c:v>
                      </c:pt>
                      <c:pt idx="50">
                        <c:v>2.5300000000000003E-2</c:v>
                      </c:pt>
                      <c:pt idx="51">
                        <c:v>2.5300000000000003E-2</c:v>
                      </c:pt>
                      <c:pt idx="52">
                        <c:v>2.5300000000000003E-2</c:v>
                      </c:pt>
                      <c:pt idx="53">
                        <c:v>2.5300000000000003E-2</c:v>
                      </c:pt>
                      <c:pt idx="54">
                        <c:v>2.5300000000000003E-2</c:v>
                      </c:pt>
                      <c:pt idx="55">
                        <c:v>2.5300000000000003E-2</c:v>
                      </c:pt>
                      <c:pt idx="56">
                        <c:v>2.5300000000000003E-2</c:v>
                      </c:pt>
                      <c:pt idx="57">
                        <c:v>2.5300000000000003E-2</c:v>
                      </c:pt>
                      <c:pt idx="58">
                        <c:v>2.5300000000000003E-2</c:v>
                      </c:pt>
                      <c:pt idx="59">
                        <c:v>2.5300000000000003E-2</c:v>
                      </c:pt>
                      <c:pt idx="60">
                        <c:v>2.5300000000000003E-2</c:v>
                      </c:pt>
                      <c:pt idx="61">
                        <c:v>2.5300000000000003E-2</c:v>
                      </c:pt>
                      <c:pt idx="62">
                        <c:v>2.5300000000000003E-2</c:v>
                      </c:pt>
                      <c:pt idx="63">
                        <c:v>2.5300000000000003E-2</c:v>
                      </c:pt>
                      <c:pt idx="64">
                        <c:v>2.5300000000000003E-2</c:v>
                      </c:pt>
                      <c:pt idx="65">
                        <c:v>2.5300000000000003E-2</c:v>
                      </c:pt>
                      <c:pt idx="66">
                        <c:v>2.5300000000000003E-2</c:v>
                      </c:pt>
                      <c:pt idx="67">
                        <c:v>2.5300000000000003E-2</c:v>
                      </c:pt>
                      <c:pt idx="68">
                        <c:v>2.5300000000000003E-2</c:v>
                      </c:pt>
                      <c:pt idx="69">
                        <c:v>2.5300000000000003E-2</c:v>
                      </c:pt>
                      <c:pt idx="70">
                        <c:v>2.5300000000000003E-2</c:v>
                      </c:pt>
                      <c:pt idx="71">
                        <c:v>2.5300000000000003E-2</c:v>
                      </c:pt>
                      <c:pt idx="72">
                        <c:v>2.5300000000000003E-2</c:v>
                      </c:pt>
                      <c:pt idx="73">
                        <c:v>2.5300000000000003E-2</c:v>
                      </c:pt>
                      <c:pt idx="74">
                        <c:v>2.5300000000000003E-2</c:v>
                      </c:pt>
                      <c:pt idx="75">
                        <c:v>2.5300000000000003E-2</c:v>
                      </c:pt>
                      <c:pt idx="76">
                        <c:v>2.5300000000000003E-2</c:v>
                      </c:pt>
                      <c:pt idx="77">
                        <c:v>2.5300000000000003E-2</c:v>
                      </c:pt>
                      <c:pt idx="78">
                        <c:v>2.5300000000000003E-2</c:v>
                      </c:pt>
                      <c:pt idx="79">
                        <c:v>2.5300000000000003E-2</c:v>
                      </c:pt>
                      <c:pt idx="80">
                        <c:v>2.5300000000000003E-2</c:v>
                      </c:pt>
                      <c:pt idx="81">
                        <c:v>2.5300000000000003E-2</c:v>
                      </c:pt>
                      <c:pt idx="82">
                        <c:v>2.5300000000000003E-2</c:v>
                      </c:pt>
                      <c:pt idx="83">
                        <c:v>2.5300000000000003E-2</c:v>
                      </c:pt>
                      <c:pt idx="84">
                        <c:v>2.5300000000000003E-2</c:v>
                      </c:pt>
                      <c:pt idx="85">
                        <c:v>2.5300000000000003E-2</c:v>
                      </c:pt>
                      <c:pt idx="86">
                        <c:v>2.5300000000000003E-2</c:v>
                      </c:pt>
                      <c:pt idx="87">
                        <c:v>2.5300000000000003E-2</c:v>
                      </c:pt>
                      <c:pt idx="88">
                        <c:v>2.5300000000000003E-2</c:v>
                      </c:pt>
                      <c:pt idx="89">
                        <c:v>2.5300000000000003E-2</c:v>
                      </c:pt>
                      <c:pt idx="90">
                        <c:v>2.5300000000000003E-2</c:v>
                      </c:pt>
                      <c:pt idx="91">
                        <c:v>2.5300000000000003E-2</c:v>
                      </c:pt>
                      <c:pt idx="92">
                        <c:v>2.5300000000000003E-2</c:v>
                      </c:pt>
                      <c:pt idx="93">
                        <c:v>2.5300000000000003E-2</c:v>
                      </c:pt>
                      <c:pt idx="94">
                        <c:v>2.5300000000000003E-2</c:v>
                      </c:pt>
                      <c:pt idx="95">
                        <c:v>2.5300000000000003E-2</c:v>
                      </c:pt>
                      <c:pt idx="96">
                        <c:v>2.5300000000000003E-2</c:v>
                      </c:pt>
                      <c:pt idx="97">
                        <c:v>2.5300000000000003E-2</c:v>
                      </c:pt>
                      <c:pt idx="98">
                        <c:v>2.5300000000000003E-2</c:v>
                      </c:pt>
                      <c:pt idx="99">
                        <c:v>2.5300000000000003E-2</c:v>
                      </c:pt>
                      <c:pt idx="100">
                        <c:v>2.5300000000000003E-2</c:v>
                      </c:pt>
                      <c:pt idx="101">
                        <c:v>2.5300000000000003E-2</c:v>
                      </c:pt>
                      <c:pt idx="102">
                        <c:v>2.5300000000000003E-2</c:v>
                      </c:pt>
                      <c:pt idx="103">
                        <c:v>2.5300000000000003E-2</c:v>
                      </c:pt>
                      <c:pt idx="104">
                        <c:v>2.5300000000000003E-2</c:v>
                      </c:pt>
                      <c:pt idx="105">
                        <c:v>2.5300000000000003E-2</c:v>
                      </c:pt>
                      <c:pt idx="106">
                        <c:v>2.5300000000000003E-2</c:v>
                      </c:pt>
                      <c:pt idx="107">
                        <c:v>2.5300000000000003E-2</c:v>
                      </c:pt>
                      <c:pt idx="108">
                        <c:v>2.5300000000000003E-2</c:v>
                      </c:pt>
                      <c:pt idx="109">
                        <c:v>2.5300000000000003E-2</c:v>
                      </c:pt>
                      <c:pt idx="110">
                        <c:v>2.5300000000000003E-2</c:v>
                      </c:pt>
                      <c:pt idx="111">
                        <c:v>2.5300000000000003E-2</c:v>
                      </c:pt>
                      <c:pt idx="112">
                        <c:v>2.5300000000000003E-2</c:v>
                      </c:pt>
                      <c:pt idx="113">
                        <c:v>2.5300000000000003E-2</c:v>
                      </c:pt>
                      <c:pt idx="114">
                        <c:v>2.5300000000000003E-2</c:v>
                      </c:pt>
                      <c:pt idx="115">
                        <c:v>2.5300000000000003E-2</c:v>
                      </c:pt>
                      <c:pt idx="116">
                        <c:v>2.5300000000000003E-2</c:v>
                      </c:pt>
                      <c:pt idx="117">
                        <c:v>2.5300000000000003E-2</c:v>
                      </c:pt>
                      <c:pt idx="118">
                        <c:v>2.5300000000000003E-2</c:v>
                      </c:pt>
                      <c:pt idx="119">
                        <c:v>2.3800000000000002E-2</c:v>
                      </c:pt>
                      <c:pt idx="120">
                        <c:v>2.3800000000000002E-2</c:v>
                      </c:pt>
                      <c:pt idx="121">
                        <c:v>2.3800000000000002E-2</c:v>
                      </c:pt>
                      <c:pt idx="122">
                        <c:v>2.3800000000000002E-2</c:v>
                      </c:pt>
                      <c:pt idx="123">
                        <c:v>2.3800000000000002E-2</c:v>
                      </c:pt>
                      <c:pt idx="124">
                        <c:v>2.3800000000000002E-2</c:v>
                      </c:pt>
                      <c:pt idx="125">
                        <c:v>2.3800000000000002E-2</c:v>
                      </c:pt>
                      <c:pt idx="126">
                        <c:v>2.3800000000000002E-2</c:v>
                      </c:pt>
                      <c:pt idx="127">
                        <c:v>2.3800000000000002E-2</c:v>
                      </c:pt>
                      <c:pt idx="128">
                        <c:v>2.3800000000000002E-2</c:v>
                      </c:pt>
                      <c:pt idx="129">
                        <c:v>2.3800000000000002E-2</c:v>
                      </c:pt>
                      <c:pt idx="130">
                        <c:v>2.3800000000000002E-2</c:v>
                      </c:pt>
                      <c:pt idx="131">
                        <c:v>2.3800000000000002E-2</c:v>
                      </c:pt>
                      <c:pt idx="132">
                        <c:v>2.3800000000000002E-2</c:v>
                      </c:pt>
                      <c:pt idx="133">
                        <c:v>2.3800000000000002E-2</c:v>
                      </c:pt>
                      <c:pt idx="134">
                        <c:v>2.3800000000000002E-2</c:v>
                      </c:pt>
                      <c:pt idx="135">
                        <c:v>2.3800000000000002E-2</c:v>
                      </c:pt>
                      <c:pt idx="136">
                        <c:v>2.3800000000000002E-2</c:v>
                      </c:pt>
                      <c:pt idx="137">
                        <c:v>2.3800000000000002E-2</c:v>
                      </c:pt>
                      <c:pt idx="138">
                        <c:v>2.3800000000000002E-2</c:v>
                      </c:pt>
                      <c:pt idx="139">
                        <c:v>2.3800000000000002E-2</c:v>
                      </c:pt>
                      <c:pt idx="140">
                        <c:v>2.3800000000000002E-2</c:v>
                      </c:pt>
                      <c:pt idx="141">
                        <c:v>2.3800000000000002E-2</c:v>
                      </c:pt>
                      <c:pt idx="142">
                        <c:v>2.3800000000000002E-2</c:v>
                      </c:pt>
                      <c:pt idx="143">
                        <c:v>2.3800000000000002E-2</c:v>
                      </c:pt>
                      <c:pt idx="144">
                        <c:v>2.3800000000000002E-2</c:v>
                      </c:pt>
                      <c:pt idx="145">
                        <c:v>2.3800000000000002E-2</c:v>
                      </c:pt>
                      <c:pt idx="146">
                        <c:v>2.3800000000000002E-2</c:v>
                      </c:pt>
                      <c:pt idx="147">
                        <c:v>2.3800000000000002E-2</c:v>
                      </c:pt>
                      <c:pt idx="148">
                        <c:v>2.3800000000000002E-2</c:v>
                      </c:pt>
                      <c:pt idx="149">
                        <c:v>2.3800000000000002E-2</c:v>
                      </c:pt>
                      <c:pt idx="150">
                        <c:v>2.3800000000000002E-2</c:v>
                      </c:pt>
                      <c:pt idx="151">
                        <c:v>2.3800000000000002E-2</c:v>
                      </c:pt>
                      <c:pt idx="152">
                        <c:v>2.3800000000000002E-2</c:v>
                      </c:pt>
                      <c:pt idx="153">
                        <c:v>2.3800000000000002E-2</c:v>
                      </c:pt>
                      <c:pt idx="154">
                        <c:v>2.3800000000000002E-2</c:v>
                      </c:pt>
                      <c:pt idx="155">
                        <c:v>2.3800000000000002E-2</c:v>
                      </c:pt>
                      <c:pt idx="156">
                        <c:v>2.3800000000000002E-2</c:v>
                      </c:pt>
                      <c:pt idx="157">
                        <c:v>2.3800000000000002E-2</c:v>
                      </c:pt>
                      <c:pt idx="158">
                        <c:v>2.3800000000000002E-2</c:v>
                      </c:pt>
                      <c:pt idx="159">
                        <c:v>2.3800000000000002E-2</c:v>
                      </c:pt>
                      <c:pt idx="160">
                        <c:v>2.3800000000000002E-2</c:v>
                      </c:pt>
                      <c:pt idx="161">
                        <c:v>2.3800000000000002E-2</c:v>
                      </c:pt>
                      <c:pt idx="162">
                        <c:v>2.3800000000000002E-2</c:v>
                      </c:pt>
                      <c:pt idx="163">
                        <c:v>2.3800000000000002E-2</c:v>
                      </c:pt>
                      <c:pt idx="164">
                        <c:v>2.3800000000000002E-2</c:v>
                      </c:pt>
                      <c:pt idx="165">
                        <c:v>2.3800000000000002E-2</c:v>
                      </c:pt>
                      <c:pt idx="166">
                        <c:v>2.3800000000000002E-2</c:v>
                      </c:pt>
                      <c:pt idx="167">
                        <c:v>2.3800000000000002E-2</c:v>
                      </c:pt>
                      <c:pt idx="168">
                        <c:v>2.3800000000000002E-2</c:v>
                      </c:pt>
                      <c:pt idx="169">
                        <c:v>2.3800000000000002E-2</c:v>
                      </c:pt>
                      <c:pt idx="170">
                        <c:v>2.3800000000000002E-2</c:v>
                      </c:pt>
                      <c:pt idx="171">
                        <c:v>2.3800000000000002E-2</c:v>
                      </c:pt>
                      <c:pt idx="172">
                        <c:v>2.3800000000000002E-2</c:v>
                      </c:pt>
                      <c:pt idx="173">
                        <c:v>2.3800000000000002E-2</c:v>
                      </c:pt>
                      <c:pt idx="174">
                        <c:v>2.3800000000000002E-2</c:v>
                      </c:pt>
                      <c:pt idx="175">
                        <c:v>2.3800000000000002E-2</c:v>
                      </c:pt>
                      <c:pt idx="176">
                        <c:v>2.3800000000000002E-2</c:v>
                      </c:pt>
                      <c:pt idx="177">
                        <c:v>2.3800000000000002E-2</c:v>
                      </c:pt>
                      <c:pt idx="178">
                        <c:v>2.3800000000000002E-2</c:v>
                      </c:pt>
                      <c:pt idx="179">
                        <c:v>2.3800000000000002E-2</c:v>
                      </c:pt>
                      <c:pt idx="180">
                        <c:v>2.3800000000000002E-2</c:v>
                      </c:pt>
                      <c:pt idx="181">
                        <c:v>2.3800000000000002E-2</c:v>
                      </c:pt>
                      <c:pt idx="182">
                        <c:v>2.3800000000000002E-2</c:v>
                      </c:pt>
                      <c:pt idx="183">
                        <c:v>2.3800000000000002E-2</c:v>
                      </c:pt>
                      <c:pt idx="184">
                        <c:v>2.3800000000000002E-2</c:v>
                      </c:pt>
                      <c:pt idx="185">
                        <c:v>2.3800000000000002E-2</c:v>
                      </c:pt>
                      <c:pt idx="186">
                        <c:v>2.3800000000000002E-2</c:v>
                      </c:pt>
                      <c:pt idx="187">
                        <c:v>2.3800000000000002E-2</c:v>
                      </c:pt>
                      <c:pt idx="188">
                        <c:v>2.3800000000000002E-2</c:v>
                      </c:pt>
                      <c:pt idx="189">
                        <c:v>2.3800000000000002E-2</c:v>
                      </c:pt>
                      <c:pt idx="190">
                        <c:v>2.3800000000000002E-2</c:v>
                      </c:pt>
                      <c:pt idx="191">
                        <c:v>2.3800000000000002E-2</c:v>
                      </c:pt>
                      <c:pt idx="192">
                        <c:v>2.3800000000000002E-2</c:v>
                      </c:pt>
                      <c:pt idx="193">
                        <c:v>2.3800000000000002E-2</c:v>
                      </c:pt>
                      <c:pt idx="194">
                        <c:v>2.3800000000000002E-2</c:v>
                      </c:pt>
                      <c:pt idx="195">
                        <c:v>2.3800000000000002E-2</c:v>
                      </c:pt>
                      <c:pt idx="196">
                        <c:v>2.3800000000000002E-2</c:v>
                      </c:pt>
                      <c:pt idx="197">
                        <c:v>2.3800000000000002E-2</c:v>
                      </c:pt>
                      <c:pt idx="198">
                        <c:v>2.3800000000000002E-2</c:v>
                      </c:pt>
                      <c:pt idx="199">
                        <c:v>2.3800000000000002E-2</c:v>
                      </c:pt>
                      <c:pt idx="200">
                        <c:v>2.3800000000000002E-2</c:v>
                      </c:pt>
                      <c:pt idx="201">
                        <c:v>2.3800000000000002E-2</c:v>
                      </c:pt>
                      <c:pt idx="202">
                        <c:v>2.3800000000000002E-2</c:v>
                      </c:pt>
                      <c:pt idx="203">
                        <c:v>2.3800000000000002E-2</c:v>
                      </c:pt>
                      <c:pt idx="204">
                        <c:v>2.3800000000000002E-2</c:v>
                      </c:pt>
                      <c:pt idx="205">
                        <c:v>2.3800000000000002E-2</c:v>
                      </c:pt>
                      <c:pt idx="206">
                        <c:v>2.3800000000000002E-2</c:v>
                      </c:pt>
                      <c:pt idx="207">
                        <c:v>2.3800000000000002E-2</c:v>
                      </c:pt>
                      <c:pt idx="208">
                        <c:v>2.3800000000000002E-2</c:v>
                      </c:pt>
                      <c:pt idx="209">
                        <c:v>2.3800000000000002E-2</c:v>
                      </c:pt>
                      <c:pt idx="210">
                        <c:v>2.3800000000000002E-2</c:v>
                      </c:pt>
                      <c:pt idx="211">
                        <c:v>2.3800000000000002E-2</c:v>
                      </c:pt>
                      <c:pt idx="212">
                        <c:v>2.3800000000000002E-2</c:v>
                      </c:pt>
                      <c:pt idx="213">
                        <c:v>2.3800000000000002E-2</c:v>
                      </c:pt>
                      <c:pt idx="214">
                        <c:v>2.3800000000000002E-2</c:v>
                      </c:pt>
                      <c:pt idx="215">
                        <c:v>2.3800000000000002E-2</c:v>
                      </c:pt>
                      <c:pt idx="216">
                        <c:v>2.3800000000000002E-2</c:v>
                      </c:pt>
                      <c:pt idx="217">
                        <c:v>2.3800000000000002E-2</c:v>
                      </c:pt>
                      <c:pt idx="218">
                        <c:v>2.3800000000000002E-2</c:v>
                      </c:pt>
                      <c:pt idx="219">
                        <c:v>2.3800000000000002E-2</c:v>
                      </c:pt>
                      <c:pt idx="220">
                        <c:v>2.3800000000000002E-2</c:v>
                      </c:pt>
                      <c:pt idx="221">
                        <c:v>2.3800000000000002E-2</c:v>
                      </c:pt>
                      <c:pt idx="222">
                        <c:v>2.3800000000000002E-2</c:v>
                      </c:pt>
                      <c:pt idx="223">
                        <c:v>2.3800000000000002E-2</c:v>
                      </c:pt>
                      <c:pt idx="224">
                        <c:v>2.3800000000000002E-2</c:v>
                      </c:pt>
                      <c:pt idx="225">
                        <c:v>2.3800000000000002E-2</c:v>
                      </c:pt>
                      <c:pt idx="226">
                        <c:v>2.3800000000000002E-2</c:v>
                      </c:pt>
                      <c:pt idx="227">
                        <c:v>2.3800000000000002E-2</c:v>
                      </c:pt>
                      <c:pt idx="228">
                        <c:v>2.3800000000000002E-2</c:v>
                      </c:pt>
                      <c:pt idx="229">
                        <c:v>2.3800000000000002E-2</c:v>
                      </c:pt>
                      <c:pt idx="230">
                        <c:v>2.3800000000000002E-2</c:v>
                      </c:pt>
                      <c:pt idx="231">
                        <c:v>2.3800000000000002E-2</c:v>
                      </c:pt>
                      <c:pt idx="232">
                        <c:v>2.3800000000000002E-2</c:v>
                      </c:pt>
                      <c:pt idx="233">
                        <c:v>2.3800000000000002E-2</c:v>
                      </c:pt>
                      <c:pt idx="234">
                        <c:v>2.3800000000000002E-2</c:v>
                      </c:pt>
                      <c:pt idx="235">
                        <c:v>2.3800000000000002E-2</c:v>
                      </c:pt>
                      <c:pt idx="236">
                        <c:v>2.3800000000000002E-2</c:v>
                      </c:pt>
                      <c:pt idx="237">
                        <c:v>2.3800000000000002E-2</c:v>
                      </c:pt>
                      <c:pt idx="238">
                        <c:v>2.3800000000000002E-2</c:v>
                      </c:pt>
                      <c:pt idx="239">
                        <c:v>2.3800000000000002E-2</c:v>
                      </c:pt>
                      <c:pt idx="240">
                        <c:v>2.3800000000000002E-2</c:v>
                      </c:pt>
                      <c:pt idx="241">
                        <c:v>2.3800000000000002E-2</c:v>
                      </c:pt>
                      <c:pt idx="242">
                        <c:v>2.3800000000000002E-2</c:v>
                      </c:pt>
                      <c:pt idx="243">
                        <c:v>2.3800000000000002E-2</c:v>
                      </c:pt>
                      <c:pt idx="244">
                        <c:v>2.3800000000000002E-2</c:v>
                      </c:pt>
                      <c:pt idx="245">
                        <c:v>2.3800000000000002E-2</c:v>
                      </c:pt>
                      <c:pt idx="246">
                        <c:v>2.3800000000000002E-2</c:v>
                      </c:pt>
                      <c:pt idx="247">
                        <c:v>2.3800000000000002E-2</c:v>
                      </c:pt>
                      <c:pt idx="248">
                        <c:v>2.3800000000000002E-2</c:v>
                      </c:pt>
                      <c:pt idx="249">
                        <c:v>2.3800000000000002E-2</c:v>
                      </c:pt>
                      <c:pt idx="250">
                        <c:v>2.3800000000000002E-2</c:v>
                      </c:pt>
                      <c:pt idx="251">
                        <c:v>2.3800000000000002E-2</c:v>
                      </c:pt>
                      <c:pt idx="252">
                        <c:v>2.3800000000000002E-2</c:v>
                      </c:pt>
                      <c:pt idx="253">
                        <c:v>2.3800000000000002E-2</c:v>
                      </c:pt>
                      <c:pt idx="254">
                        <c:v>2.3800000000000002E-2</c:v>
                      </c:pt>
                      <c:pt idx="255">
                        <c:v>2.3800000000000002E-2</c:v>
                      </c:pt>
                      <c:pt idx="256">
                        <c:v>2.3800000000000002E-2</c:v>
                      </c:pt>
                      <c:pt idx="257">
                        <c:v>2.3800000000000002E-2</c:v>
                      </c:pt>
                      <c:pt idx="258">
                        <c:v>2.3800000000000002E-2</c:v>
                      </c:pt>
                      <c:pt idx="259">
                        <c:v>2.3800000000000002E-2</c:v>
                      </c:pt>
                      <c:pt idx="260">
                        <c:v>2.3800000000000002E-2</c:v>
                      </c:pt>
                      <c:pt idx="261">
                        <c:v>2.3800000000000002E-2</c:v>
                      </c:pt>
                      <c:pt idx="262">
                        <c:v>2.3800000000000002E-2</c:v>
                      </c:pt>
                      <c:pt idx="263">
                        <c:v>2.3800000000000002E-2</c:v>
                      </c:pt>
                      <c:pt idx="264">
                        <c:v>2.3800000000000002E-2</c:v>
                      </c:pt>
                      <c:pt idx="265">
                        <c:v>2.3800000000000002E-2</c:v>
                      </c:pt>
                      <c:pt idx="266">
                        <c:v>2.3800000000000002E-2</c:v>
                      </c:pt>
                      <c:pt idx="267">
                        <c:v>2.3800000000000002E-2</c:v>
                      </c:pt>
                      <c:pt idx="268">
                        <c:v>2.3800000000000002E-2</c:v>
                      </c:pt>
                      <c:pt idx="269">
                        <c:v>2.3800000000000002E-2</c:v>
                      </c:pt>
                      <c:pt idx="270">
                        <c:v>2.3800000000000002E-2</c:v>
                      </c:pt>
                      <c:pt idx="271">
                        <c:v>2.3800000000000002E-2</c:v>
                      </c:pt>
                      <c:pt idx="272">
                        <c:v>2.3800000000000002E-2</c:v>
                      </c:pt>
                      <c:pt idx="273">
                        <c:v>2.3800000000000002E-2</c:v>
                      </c:pt>
                      <c:pt idx="274">
                        <c:v>2.3800000000000002E-2</c:v>
                      </c:pt>
                      <c:pt idx="275">
                        <c:v>2.3800000000000002E-2</c:v>
                      </c:pt>
                      <c:pt idx="276">
                        <c:v>2.3800000000000002E-2</c:v>
                      </c:pt>
                      <c:pt idx="277">
                        <c:v>2.3800000000000002E-2</c:v>
                      </c:pt>
                      <c:pt idx="278">
                        <c:v>2.3800000000000002E-2</c:v>
                      </c:pt>
                      <c:pt idx="279">
                        <c:v>2.3800000000000002E-2</c:v>
                      </c:pt>
                      <c:pt idx="280">
                        <c:v>2.3800000000000002E-2</c:v>
                      </c:pt>
                      <c:pt idx="281">
                        <c:v>2.3800000000000002E-2</c:v>
                      </c:pt>
                      <c:pt idx="282">
                        <c:v>2.3800000000000002E-2</c:v>
                      </c:pt>
                      <c:pt idx="283">
                        <c:v>2.3800000000000002E-2</c:v>
                      </c:pt>
                      <c:pt idx="284">
                        <c:v>2.3800000000000002E-2</c:v>
                      </c:pt>
                      <c:pt idx="285">
                        <c:v>2.3800000000000002E-2</c:v>
                      </c:pt>
                      <c:pt idx="286">
                        <c:v>2.3800000000000002E-2</c:v>
                      </c:pt>
                      <c:pt idx="287">
                        <c:v>2.3800000000000002E-2</c:v>
                      </c:pt>
                      <c:pt idx="288">
                        <c:v>2.3800000000000002E-2</c:v>
                      </c:pt>
                      <c:pt idx="289">
                        <c:v>2.3800000000000002E-2</c:v>
                      </c:pt>
                      <c:pt idx="290">
                        <c:v>2.3800000000000002E-2</c:v>
                      </c:pt>
                      <c:pt idx="291">
                        <c:v>2.3800000000000002E-2</c:v>
                      </c:pt>
                      <c:pt idx="292">
                        <c:v>2.3800000000000002E-2</c:v>
                      </c:pt>
                      <c:pt idx="293">
                        <c:v>2.3800000000000002E-2</c:v>
                      </c:pt>
                      <c:pt idx="294">
                        <c:v>2.3800000000000002E-2</c:v>
                      </c:pt>
                      <c:pt idx="295">
                        <c:v>2.3800000000000002E-2</c:v>
                      </c:pt>
                      <c:pt idx="296">
                        <c:v>2.3800000000000002E-2</c:v>
                      </c:pt>
                      <c:pt idx="297">
                        <c:v>2.3800000000000002E-2</c:v>
                      </c:pt>
                      <c:pt idx="298">
                        <c:v>2.3800000000000002E-2</c:v>
                      </c:pt>
                      <c:pt idx="299">
                        <c:v>2.3800000000000002E-2</c:v>
                      </c:pt>
                      <c:pt idx="300">
                        <c:v>2.3800000000000002E-2</c:v>
                      </c:pt>
                      <c:pt idx="301">
                        <c:v>2.3800000000000002E-2</c:v>
                      </c:pt>
                      <c:pt idx="302">
                        <c:v>2.3800000000000002E-2</c:v>
                      </c:pt>
                      <c:pt idx="303">
                        <c:v>2.3800000000000002E-2</c:v>
                      </c:pt>
                      <c:pt idx="304">
                        <c:v>2.3800000000000002E-2</c:v>
                      </c:pt>
                      <c:pt idx="305">
                        <c:v>2.3800000000000002E-2</c:v>
                      </c:pt>
                      <c:pt idx="306">
                        <c:v>2.3800000000000002E-2</c:v>
                      </c:pt>
                      <c:pt idx="307">
                        <c:v>2.3800000000000002E-2</c:v>
                      </c:pt>
                      <c:pt idx="308">
                        <c:v>2.3800000000000002E-2</c:v>
                      </c:pt>
                      <c:pt idx="309">
                        <c:v>2.3800000000000002E-2</c:v>
                      </c:pt>
                      <c:pt idx="310">
                        <c:v>2.3800000000000002E-2</c:v>
                      </c:pt>
                      <c:pt idx="311">
                        <c:v>2.3800000000000002E-2</c:v>
                      </c:pt>
                      <c:pt idx="312">
                        <c:v>2.3800000000000002E-2</c:v>
                      </c:pt>
                      <c:pt idx="313">
                        <c:v>2.3800000000000002E-2</c:v>
                      </c:pt>
                      <c:pt idx="314">
                        <c:v>2.3800000000000002E-2</c:v>
                      </c:pt>
                      <c:pt idx="315">
                        <c:v>2.3800000000000002E-2</c:v>
                      </c:pt>
                      <c:pt idx="316">
                        <c:v>2.3800000000000002E-2</c:v>
                      </c:pt>
                      <c:pt idx="317">
                        <c:v>2.3800000000000002E-2</c:v>
                      </c:pt>
                      <c:pt idx="318">
                        <c:v>2.3800000000000002E-2</c:v>
                      </c:pt>
                      <c:pt idx="319">
                        <c:v>2.3800000000000002E-2</c:v>
                      </c:pt>
                      <c:pt idx="320">
                        <c:v>2.3800000000000002E-2</c:v>
                      </c:pt>
                      <c:pt idx="321">
                        <c:v>2.3800000000000002E-2</c:v>
                      </c:pt>
                      <c:pt idx="322">
                        <c:v>2.3800000000000002E-2</c:v>
                      </c:pt>
                      <c:pt idx="323">
                        <c:v>2.3800000000000002E-2</c:v>
                      </c:pt>
                      <c:pt idx="324">
                        <c:v>2.3800000000000002E-2</c:v>
                      </c:pt>
                      <c:pt idx="325">
                        <c:v>2.3800000000000002E-2</c:v>
                      </c:pt>
                      <c:pt idx="326">
                        <c:v>2.3800000000000002E-2</c:v>
                      </c:pt>
                      <c:pt idx="327">
                        <c:v>2.3800000000000002E-2</c:v>
                      </c:pt>
                      <c:pt idx="328">
                        <c:v>2.3800000000000002E-2</c:v>
                      </c:pt>
                      <c:pt idx="329">
                        <c:v>2.3800000000000002E-2</c:v>
                      </c:pt>
                      <c:pt idx="330">
                        <c:v>2.3800000000000002E-2</c:v>
                      </c:pt>
                      <c:pt idx="331">
                        <c:v>2.3800000000000002E-2</c:v>
                      </c:pt>
                      <c:pt idx="332">
                        <c:v>2.3800000000000002E-2</c:v>
                      </c:pt>
                      <c:pt idx="333">
                        <c:v>2.3800000000000002E-2</c:v>
                      </c:pt>
                      <c:pt idx="334">
                        <c:v>2.3800000000000002E-2</c:v>
                      </c:pt>
                      <c:pt idx="335">
                        <c:v>2.3800000000000002E-2</c:v>
                      </c:pt>
                      <c:pt idx="336">
                        <c:v>2.3800000000000002E-2</c:v>
                      </c:pt>
                      <c:pt idx="337">
                        <c:v>2.3800000000000002E-2</c:v>
                      </c:pt>
                      <c:pt idx="338">
                        <c:v>2.3800000000000002E-2</c:v>
                      </c:pt>
                      <c:pt idx="339">
                        <c:v>2.3800000000000002E-2</c:v>
                      </c:pt>
                      <c:pt idx="340">
                        <c:v>2.3800000000000002E-2</c:v>
                      </c:pt>
                      <c:pt idx="341">
                        <c:v>2.3800000000000002E-2</c:v>
                      </c:pt>
                      <c:pt idx="342">
                        <c:v>2.3800000000000002E-2</c:v>
                      </c:pt>
                      <c:pt idx="343">
                        <c:v>2.3800000000000002E-2</c:v>
                      </c:pt>
                      <c:pt idx="344">
                        <c:v>2.3800000000000002E-2</c:v>
                      </c:pt>
                      <c:pt idx="345">
                        <c:v>2.3800000000000002E-2</c:v>
                      </c:pt>
                      <c:pt idx="346">
                        <c:v>2.3800000000000002E-2</c:v>
                      </c:pt>
                      <c:pt idx="347">
                        <c:v>2.3800000000000002E-2</c:v>
                      </c:pt>
                      <c:pt idx="348">
                        <c:v>2.3800000000000002E-2</c:v>
                      </c:pt>
                      <c:pt idx="349">
                        <c:v>2.3800000000000002E-2</c:v>
                      </c:pt>
                      <c:pt idx="350">
                        <c:v>2.3800000000000002E-2</c:v>
                      </c:pt>
                      <c:pt idx="351">
                        <c:v>2.3800000000000002E-2</c:v>
                      </c:pt>
                      <c:pt idx="352">
                        <c:v>2.3800000000000002E-2</c:v>
                      </c:pt>
                      <c:pt idx="353">
                        <c:v>2.3800000000000002E-2</c:v>
                      </c:pt>
                      <c:pt idx="354">
                        <c:v>2.3800000000000002E-2</c:v>
                      </c:pt>
                      <c:pt idx="355">
                        <c:v>2.3800000000000002E-2</c:v>
                      </c:pt>
                      <c:pt idx="356">
                        <c:v>2.3800000000000002E-2</c:v>
                      </c:pt>
                      <c:pt idx="357">
                        <c:v>2.3800000000000002E-2</c:v>
                      </c:pt>
                      <c:pt idx="358">
                        <c:v>2.3800000000000002E-2</c:v>
                      </c:pt>
                      <c:pt idx="359">
                        <c:v>2.3800000000000002E-2</c:v>
                      </c:pt>
                      <c:pt idx="360">
                        <c:v>2.3800000000000002E-2</c:v>
                      </c:pt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8-5BD6-4124-8AF1-DBC64C2F8D6C}"/>
                  </c:ext>
                </c:extLst>
              </c15:ser>
            </c15:filteredAreaSeries>
            <c15:filteredAreaSeries>
              <c15:ser>
                <c:idx val="6"/>
                <c:order val="8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Betalingstabel!$G$10</c15:sqref>
                        </c15:formulaRef>
                      </c:ext>
                    </c:extLst>
                    <c:strCache>
                      <c:ptCount val="1"/>
                      <c:pt idx="0">
                        <c:v>Aflossing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Betalingstabel!$G$11:$G$371</c15:sqref>
                        </c15:formulaRef>
                      </c:ext>
                    </c:extLst>
                    <c:numCache>
                      <c:formatCode>"€"\ #,##0.00</c:formatCode>
                      <c:ptCount val="361"/>
                      <c:pt idx="0">
                        <c:v>362.41917591068847</c:v>
                      </c:pt>
                      <c:pt idx="1">
                        <c:v>372.49916325196688</c:v>
                      </c:pt>
                      <c:pt idx="2">
                        <c:v>373.28451565448978</c:v>
                      </c:pt>
                      <c:pt idx="3">
                        <c:v>374.07152384166125</c:v>
                      </c:pt>
                      <c:pt idx="4">
                        <c:v>374.86019130442742</c:v>
                      </c:pt>
                      <c:pt idx="5">
                        <c:v>375.65052154109418</c:v>
                      </c:pt>
                      <c:pt idx="6">
                        <c:v>376.44251805734353</c:v>
                      </c:pt>
                      <c:pt idx="7">
                        <c:v>377.23618436624764</c:v>
                      </c:pt>
                      <c:pt idx="8">
                        <c:v>378.03152398828655</c:v>
                      </c:pt>
                      <c:pt idx="9">
                        <c:v>378.82854045136179</c:v>
                      </c:pt>
                      <c:pt idx="10">
                        <c:v>379.62723729081341</c:v>
                      </c:pt>
                      <c:pt idx="11">
                        <c:v>380.42761804943484</c:v>
                      </c:pt>
                      <c:pt idx="12">
                        <c:v>381.22968627748895</c:v>
                      </c:pt>
                      <c:pt idx="13">
                        <c:v>382.0334455327241</c:v>
                      </c:pt>
                      <c:pt idx="14">
                        <c:v>382.83889938038897</c:v>
                      </c:pt>
                      <c:pt idx="15">
                        <c:v>383.64605139324925</c:v>
                      </c:pt>
                      <c:pt idx="16">
                        <c:v>384.45490515160333</c:v>
                      </c:pt>
                      <c:pt idx="17">
                        <c:v>385.26546424329803</c:v>
                      </c:pt>
                      <c:pt idx="18">
                        <c:v>386.07773226374428</c:v>
                      </c:pt>
                      <c:pt idx="19">
                        <c:v>386.89171281593377</c:v>
                      </c:pt>
                      <c:pt idx="20">
                        <c:v>387.70740951045406</c:v>
                      </c:pt>
                      <c:pt idx="21">
                        <c:v>388.52482596550504</c:v>
                      </c:pt>
                      <c:pt idx="22">
                        <c:v>389.34396580691583</c:v>
                      </c:pt>
                      <c:pt idx="23">
                        <c:v>390.16483266815879</c:v>
                      </c:pt>
                      <c:pt idx="24">
                        <c:v>390.98743019036732</c:v>
                      </c:pt>
                      <c:pt idx="25">
                        <c:v>391.81176202235207</c:v>
                      </c:pt>
                      <c:pt idx="26">
                        <c:v>392.6378318206161</c:v>
                      </c:pt>
                      <c:pt idx="27">
                        <c:v>393.46564324937111</c:v>
                      </c:pt>
                      <c:pt idx="28">
                        <c:v>394.2951999805552</c:v>
                      </c:pt>
                      <c:pt idx="29">
                        <c:v>395.12650569384749</c:v>
                      </c:pt>
                      <c:pt idx="30">
                        <c:v>395.95956407668541</c:v>
                      </c:pt>
                      <c:pt idx="31">
                        <c:v>396.79437882428039</c:v>
                      </c:pt>
                      <c:pt idx="32">
                        <c:v>397.63095363963504</c:v>
                      </c:pt>
                      <c:pt idx="33">
                        <c:v>398.46929223355858</c:v>
                      </c:pt>
                      <c:pt idx="34">
                        <c:v>399.3093983246842</c:v>
                      </c:pt>
                      <c:pt idx="35">
                        <c:v>400.15127563948556</c:v>
                      </c:pt>
                      <c:pt idx="36">
                        <c:v>400.9949279122921</c:v>
                      </c:pt>
                      <c:pt idx="37">
                        <c:v>401.8403588853073</c:v>
                      </c:pt>
                      <c:pt idx="38">
                        <c:v>402.68757230862383</c:v>
                      </c:pt>
                      <c:pt idx="39">
                        <c:v>403.53657194024112</c:v>
                      </c:pt>
                      <c:pt idx="40">
                        <c:v>404.38736154608176</c:v>
                      </c:pt>
                      <c:pt idx="41">
                        <c:v>405.23994490000808</c:v>
                      </c:pt>
                      <c:pt idx="42">
                        <c:v>406.09432578383894</c:v>
                      </c:pt>
                      <c:pt idx="43">
                        <c:v>406.95050798736662</c:v>
                      </c:pt>
                      <c:pt idx="44">
                        <c:v>407.80849530837332</c:v>
                      </c:pt>
                      <c:pt idx="45">
                        <c:v>408.66829155264833</c:v>
                      </c:pt>
                      <c:pt idx="46">
                        <c:v>409.52990053400532</c:v>
                      </c:pt>
                      <c:pt idx="47">
                        <c:v>410.39332607429782</c:v>
                      </c:pt>
                      <c:pt idx="48">
                        <c:v>411.25857200343779</c:v>
                      </c:pt>
                      <c:pt idx="49">
                        <c:v>412.1256421594116</c:v>
                      </c:pt>
                      <c:pt idx="50">
                        <c:v>412.99454038829771</c:v>
                      </c:pt>
                      <c:pt idx="51">
                        <c:v>413.86527054428319</c:v>
                      </c:pt>
                      <c:pt idx="52">
                        <c:v>414.73783648968066</c:v>
                      </c:pt>
                      <c:pt idx="53">
                        <c:v>415.61224209494634</c:v>
                      </c:pt>
                      <c:pt idx="54">
                        <c:v>416.48849123869667</c:v>
                      </c:pt>
                      <c:pt idx="55">
                        <c:v>417.36658780772478</c:v>
                      </c:pt>
                      <c:pt idx="56">
                        <c:v>418.24653569701945</c:v>
                      </c:pt>
                      <c:pt idx="57">
                        <c:v>419.1283388097807</c:v>
                      </c:pt>
                      <c:pt idx="58">
                        <c:v>420.01200105743783</c:v>
                      </c:pt>
                      <c:pt idx="59">
                        <c:v>420.89752635966744</c:v>
                      </c:pt>
                      <c:pt idx="60">
                        <c:v>421.784918644409</c:v>
                      </c:pt>
                      <c:pt idx="61">
                        <c:v>422.67418184788431</c:v>
                      </c:pt>
                      <c:pt idx="62">
                        <c:v>423.56531991461355</c:v>
                      </c:pt>
                      <c:pt idx="63">
                        <c:v>424.45833679743356</c:v>
                      </c:pt>
                      <c:pt idx="64">
                        <c:v>425.35323645751481</c:v>
                      </c:pt>
                      <c:pt idx="65">
                        <c:v>426.25002286437945</c:v>
                      </c:pt>
                      <c:pt idx="66">
                        <c:v>427.14869999591838</c:v>
                      </c:pt>
                      <c:pt idx="67">
                        <c:v>428.04927183840988</c:v>
                      </c:pt>
                      <c:pt idx="68">
                        <c:v>428.95174238653584</c:v>
                      </c:pt>
                      <c:pt idx="69">
                        <c:v>429.8561156434007</c:v>
                      </c:pt>
                      <c:pt idx="70">
                        <c:v>430.76239562054894</c:v>
                      </c:pt>
                      <c:pt idx="71">
                        <c:v>431.67058633798234</c:v>
                      </c:pt>
                      <c:pt idx="72">
                        <c:v>432.58069182417842</c:v>
                      </c:pt>
                      <c:pt idx="73">
                        <c:v>433.49271611610749</c:v>
                      </c:pt>
                      <c:pt idx="74">
                        <c:v>434.40666325925224</c:v>
                      </c:pt>
                      <c:pt idx="75">
                        <c:v>435.32253730762403</c:v>
                      </c:pt>
                      <c:pt idx="76">
                        <c:v>436.24034232378091</c:v>
                      </c:pt>
                      <c:pt idx="77">
                        <c:v>437.16008237884677</c:v>
                      </c:pt>
                      <c:pt idx="78">
                        <c:v>438.0817615525288</c:v>
                      </c:pt>
                      <c:pt idx="79">
                        <c:v>439.00538393313531</c:v>
                      </c:pt>
                      <c:pt idx="80">
                        <c:v>439.93095361759441</c:v>
                      </c:pt>
                      <c:pt idx="81">
                        <c:v>440.85847471147167</c:v>
                      </c:pt>
                      <c:pt idx="82">
                        <c:v>441.78795132898824</c:v>
                      </c:pt>
                      <c:pt idx="83">
                        <c:v>442.71938759304004</c:v>
                      </c:pt>
                      <c:pt idx="84">
                        <c:v>443.65278763521565</c:v>
                      </c:pt>
                      <c:pt idx="85">
                        <c:v>444.58815559581313</c:v>
                      </c:pt>
                      <c:pt idx="86">
                        <c:v>445.52549562386076</c:v>
                      </c:pt>
                      <c:pt idx="87">
                        <c:v>446.46481187713459</c:v>
                      </c:pt>
                      <c:pt idx="88">
                        <c:v>447.40610852217554</c:v>
                      </c:pt>
                      <c:pt idx="89">
                        <c:v>448.34938973430991</c:v>
                      </c:pt>
                      <c:pt idx="90">
                        <c:v>449.2946596976663</c:v>
                      </c:pt>
                      <c:pt idx="91">
                        <c:v>450.2419226051955</c:v>
                      </c:pt>
                      <c:pt idx="92">
                        <c:v>451.19118265868809</c:v>
                      </c:pt>
                      <c:pt idx="93">
                        <c:v>452.14244406879351</c:v>
                      </c:pt>
                      <c:pt idx="94">
                        <c:v>453.09571105503869</c:v>
                      </c:pt>
                      <c:pt idx="95">
                        <c:v>454.05098784584629</c:v>
                      </c:pt>
                      <c:pt idx="96">
                        <c:v>455.00827867855475</c:v>
                      </c:pt>
                      <c:pt idx="97">
                        <c:v>455.96758779943531</c:v>
                      </c:pt>
                      <c:pt idx="98">
                        <c:v>456.92891946371225</c:v>
                      </c:pt>
                      <c:pt idx="99">
                        <c:v>457.89227793558183</c:v>
                      </c:pt>
                      <c:pt idx="100">
                        <c:v>458.85766748822931</c:v>
                      </c:pt>
                      <c:pt idx="101">
                        <c:v>459.82509240385031</c:v>
                      </c:pt>
                      <c:pt idx="102">
                        <c:v>460.79455697366831</c:v>
                      </c:pt>
                      <c:pt idx="103">
                        <c:v>461.76606549795451</c:v>
                      </c:pt>
                      <c:pt idx="104">
                        <c:v>462.73962228604609</c:v>
                      </c:pt>
                      <c:pt idx="105">
                        <c:v>463.7152316563658</c:v>
                      </c:pt>
                      <c:pt idx="106">
                        <c:v>464.6928979364414</c:v>
                      </c:pt>
                      <c:pt idx="107">
                        <c:v>465.67262546292403</c:v>
                      </c:pt>
                      <c:pt idx="108">
                        <c:v>466.6544185816083</c:v>
                      </c:pt>
                      <c:pt idx="109">
                        <c:v>467.63828164745127</c:v>
                      </c:pt>
                      <c:pt idx="110">
                        <c:v>468.62421902459124</c:v>
                      </c:pt>
                      <c:pt idx="111">
                        <c:v>469.61223508636795</c:v>
                      </c:pt>
                      <c:pt idx="112">
                        <c:v>470.6023342153419</c:v>
                      </c:pt>
                      <c:pt idx="113">
                        <c:v>471.59452080331261</c:v>
                      </c:pt>
                      <c:pt idx="114">
                        <c:v>472.58879925133954</c:v>
                      </c:pt>
                      <c:pt idx="115">
                        <c:v>473.58517396976146</c:v>
                      </c:pt>
                      <c:pt idx="116">
                        <c:v>474.58364937821403</c:v>
                      </c:pt>
                      <c:pt idx="117">
                        <c:v>475.58422990565322</c:v>
                      </c:pt>
                      <c:pt idx="118">
                        <c:v>476.58691999037097</c:v>
                      </c:pt>
                      <c:pt idx="119">
                        <c:v>485.39091809734299</c:v>
                      </c:pt>
                      <c:pt idx="120">
                        <c:v>486.35361008490275</c:v>
                      </c:pt>
                      <c:pt idx="121">
                        <c:v>487.31821141157104</c:v>
                      </c:pt>
                      <c:pt idx="122">
                        <c:v>488.28472586420401</c:v>
                      </c:pt>
                      <c:pt idx="123">
                        <c:v>489.25315723716801</c:v>
                      </c:pt>
                      <c:pt idx="124">
                        <c:v>490.22350933235504</c:v>
                      </c:pt>
                      <c:pt idx="125">
                        <c:v>491.19578595919751</c:v>
                      </c:pt>
                      <c:pt idx="126">
                        <c:v>492.16999093468331</c:v>
                      </c:pt>
                      <c:pt idx="127">
                        <c:v>493.14612808337034</c:v>
                      </c:pt>
                      <c:pt idx="128">
                        <c:v>494.12420123740225</c:v>
                      </c:pt>
                      <c:pt idx="129">
                        <c:v>495.10421423652321</c:v>
                      </c:pt>
                      <c:pt idx="130">
                        <c:v>496.08617092809243</c:v>
                      </c:pt>
                      <c:pt idx="131">
                        <c:v>497.07007516709979</c:v>
                      </c:pt>
                      <c:pt idx="132">
                        <c:v>498.05593081618127</c:v>
                      </c:pt>
                      <c:pt idx="133">
                        <c:v>499.04374174563321</c:v>
                      </c:pt>
                      <c:pt idx="134">
                        <c:v>500.03351183342863</c:v>
                      </c:pt>
                      <c:pt idx="135">
                        <c:v>501.02524496523159</c:v>
                      </c:pt>
                      <c:pt idx="136">
                        <c:v>502.01894503441287</c:v>
                      </c:pt>
                      <c:pt idx="137">
                        <c:v>503.01461594206427</c:v>
                      </c:pt>
                      <c:pt idx="138">
                        <c:v>504.01226159701611</c:v>
                      </c:pt>
                      <c:pt idx="139">
                        <c:v>505.01188591585026</c:v>
                      </c:pt>
                      <c:pt idx="140">
                        <c:v>506.0134928229167</c:v>
                      </c:pt>
                      <c:pt idx="141">
                        <c:v>507.01708625034877</c:v>
                      </c:pt>
                      <c:pt idx="142">
                        <c:v>508.02267013807858</c:v>
                      </c:pt>
                      <c:pt idx="143">
                        <c:v>509.03024843385253</c:v>
                      </c:pt>
                      <c:pt idx="144">
                        <c:v>510.03982509324629</c:v>
                      </c:pt>
                      <c:pt idx="145">
                        <c:v>511.05140407968128</c:v>
                      </c:pt>
                      <c:pt idx="146">
                        <c:v>512.06498936443938</c:v>
                      </c:pt>
                      <c:pt idx="147">
                        <c:v>513.08058492667874</c:v>
                      </c:pt>
                      <c:pt idx="148">
                        <c:v>514.09819475345</c:v>
                      </c:pt>
                      <c:pt idx="149">
                        <c:v>515.11782283971093</c:v>
                      </c:pt>
                      <c:pt idx="150">
                        <c:v>516.13947318834312</c:v>
                      </c:pt>
                      <c:pt idx="151">
                        <c:v>517.16314981016671</c:v>
                      </c:pt>
                      <c:pt idx="152">
                        <c:v>518.18885672395686</c:v>
                      </c:pt>
                      <c:pt idx="153">
                        <c:v>519.21659795645928</c:v>
                      </c:pt>
                      <c:pt idx="154">
                        <c:v>520.24637754240632</c:v>
                      </c:pt>
                      <c:pt idx="155">
                        <c:v>521.27819952453206</c:v>
                      </c:pt>
                      <c:pt idx="156">
                        <c:v>522.31206795358912</c:v>
                      </c:pt>
                      <c:pt idx="157">
                        <c:v>523.34798688836383</c:v>
                      </c:pt>
                      <c:pt idx="158">
                        <c:v>524.38596039569234</c:v>
                      </c:pt>
                      <c:pt idx="159">
                        <c:v>525.42599255047708</c:v>
                      </c:pt>
                      <c:pt idx="160">
                        <c:v>526.46808743570227</c:v>
                      </c:pt>
                      <c:pt idx="161">
                        <c:v>527.51224914244972</c:v>
                      </c:pt>
                      <c:pt idx="162">
                        <c:v>528.55848176991549</c:v>
                      </c:pt>
                      <c:pt idx="163">
                        <c:v>529.60678942542586</c:v>
                      </c:pt>
                      <c:pt idx="164">
                        <c:v>530.657176224453</c:v>
                      </c:pt>
                      <c:pt idx="165">
                        <c:v>531.70964629063144</c:v>
                      </c:pt>
                      <c:pt idx="166">
                        <c:v>532.76420375577459</c:v>
                      </c:pt>
                      <c:pt idx="167">
                        <c:v>533.82085275989004</c:v>
                      </c:pt>
                      <c:pt idx="168">
                        <c:v>534.87959745119713</c:v>
                      </c:pt>
                      <c:pt idx="169">
                        <c:v>535.9404419861421</c:v>
                      </c:pt>
                      <c:pt idx="170">
                        <c:v>537.00339052941445</c:v>
                      </c:pt>
                      <c:pt idx="171">
                        <c:v>538.06844725396456</c:v>
                      </c:pt>
                      <c:pt idx="172">
                        <c:v>539.13561634101848</c:v>
                      </c:pt>
                      <c:pt idx="173">
                        <c:v>540.20490198009475</c:v>
                      </c:pt>
                      <c:pt idx="174">
                        <c:v>541.27630836902188</c:v>
                      </c:pt>
                      <c:pt idx="175">
                        <c:v>542.34983971395377</c:v>
                      </c:pt>
                      <c:pt idx="176">
                        <c:v>543.42550022938644</c:v>
                      </c:pt>
                      <c:pt idx="177">
                        <c:v>544.50329413817485</c:v>
                      </c:pt>
                      <c:pt idx="178">
                        <c:v>545.5832256715488</c:v>
                      </c:pt>
                      <c:pt idx="179">
                        <c:v>546.6652990691307</c:v>
                      </c:pt>
                      <c:pt idx="180">
                        <c:v>547.74951857895121</c:v>
                      </c:pt>
                      <c:pt idx="181">
                        <c:v>548.83588845746601</c:v>
                      </c:pt>
                      <c:pt idx="182">
                        <c:v>549.92441296957327</c:v>
                      </c:pt>
                      <c:pt idx="183">
                        <c:v>551.01509638862956</c:v>
                      </c:pt>
                      <c:pt idx="184">
                        <c:v>552.10794299646716</c:v>
                      </c:pt>
                      <c:pt idx="185">
                        <c:v>553.20295708341018</c:v>
                      </c:pt>
                      <c:pt idx="186">
                        <c:v>554.30014294829209</c:v>
                      </c:pt>
                      <c:pt idx="187">
                        <c:v>555.39950489847297</c:v>
                      </c:pt>
                      <c:pt idx="188">
                        <c:v>556.50104724985476</c:v>
                      </c:pt>
                      <c:pt idx="189">
                        <c:v>557.6047743269005</c:v>
                      </c:pt>
                      <c:pt idx="190">
                        <c:v>558.71069046264881</c:v>
                      </c:pt>
                      <c:pt idx="191">
                        <c:v>559.81879999873308</c:v>
                      </c:pt>
                      <c:pt idx="192">
                        <c:v>560.92910728539732</c:v>
                      </c:pt>
                      <c:pt idx="193">
                        <c:v>562.04161668151335</c:v>
                      </c:pt>
                      <c:pt idx="194">
                        <c:v>563.15633255459807</c:v>
                      </c:pt>
                      <c:pt idx="195">
                        <c:v>564.27325928083155</c:v>
                      </c:pt>
                      <c:pt idx="196">
                        <c:v>565.39240124507194</c:v>
                      </c:pt>
                      <c:pt idx="197">
                        <c:v>566.51376284087462</c:v>
                      </c:pt>
                      <c:pt idx="198">
                        <c:v>567.63734847050898</c:v>
                      </c:pt>
                      <c:pt idx="199">
                        <c:v>568.76316254497556</c:v>
                      </c:pt>
                      <c:pt idx="200">
                        <c:v>569.89120948402285</c:v>
                      </c:pt>
                      <c:pt idx="201">
                        <c:v>571.02149371616633</c:v>
                      </c:pt>
                      <c:pt idx="202">
                        <c:v>572.15401967870343</c:v>
                      </c:pt>
                      <c:pt idx="203">
                        <c:v>573.28879181773289</c:v>
                      </c:pt>
                      <c:pt idx="204">
                        <c:v>574.42581458817142</c:v>
                      </c:pt>
                      <c:pt idx="205">
                        <c:v>575.56509245377129</c:v>
                      </c:pt>
                      <c:pt idx="206">
                        <c:v>576.70662988713798</c:v>
                      </c:pt>
                      <c:pt idx="207">
                        <c:v>577.85043136974718</c:v>
                      </c:pt>
                      <c:pt idx="208">
                        <c:v>578.99650139196387</c:v>
                      </c:pt>
                      <c:pt idx="209">
                        <c:v>580.14484445305823</c:v>
                      </c:pt>
                      <c:pt idx="210">
                        <c:v>581.29546506122324</c:v>
                      </c:pt>
                      <c:pt idx="211">
                        <c:v>582.44836773359498</c:v>
                      </c:pt>
                      <c:pt idx="212">
                        <c:v>583.60355699626643</c:v>
                      </c:pt>
                      <c:pt idx="213">
                        <c:v>584.76103738430902</c:v>
                      </c:pt>
                      <c:pt idx="214">
                        <c:v>585.92081344178791</c:v>
                      </c:pt>
                      <c:pt idx="215">
                        <c:v>587.08288972178082</c:v>
                      </c:pt>
                      <c:pt idx="216">
                        <c:v>588.24727078639569</c:v>
                      </c:pt>
                      <c:pt idx="217">
                        <c:v>589.4139612067886</c:v>
                      </c:pt>
                      <c:pt idx="218">
                        <c:v>590.58296556318226</c:v>
                      </c:pt>
                      <c:pt idx="219">
                        <c:v>591.75428844488238</c:v>
                      </c:pt>
                      <c:pt idx="220">
                        <c:v>592.92793445029804</c:v>
                      </c:pt>
                      <c:pt idx="221">
                        <c:v>594.10390818695805</c:v>
                      </c:pt>
                      <c:pt idx="222">
                        <c:v>595.28221427152869</c:v>
                      </c:pt>
                      <c:pt idx="223">
                        <c:v>596.46285732983381</c:v>
                      </c:pt>
                      <c:pt idx="224">
                        <c:v>597.64584199687147</c:v>
                      </c:pt>
                      <c:pt idx="225">
                        <c:v>598.83117291683175</c:v>
                      </c:pt>
                      <c:pt idx="226">
                        <c:v>600.01885474311678</c:v>
                      </c:pt>
                      <c:pt idx="227">
                        <c:v>601.20889213835744</c:v>
                      </c:pt>
                      <c:pt idx="228">
                        <c:v>602.40128977443158</c:v>
                      </c:pt>
                      <c:pt idx="229">
                        <c:v>603.59605233248442</c:v>
                      </c:pt>
                      <c:pt idx="230">
                        <c:v>604.79318450294386</c:v>
                      </c:pt>
                      <c:pt idx="231">
                        <c:v>605.99269098554134</c:v>
                      </c:pt>
                      <c:pt idx="232">
                        <c:v>607.19457648932939</c:v>
                      </c:pt>
                      <c:pt idx="233">
                        <c:v>608.3988457326999</c:v>
                      </c:pt>
                      <c:pt idx="234">
                        <c:v>609.60550344340288</c:v>
                      </c:pt>
                      <c:pt idx="235">
                        <c:v>610.81455435856583</c:v>
                      </c:pt>
                      <c:pt idx="236">
                        <c:v>612.02600322471017</c:v>
                      </c:pt>
                      <c:pt idx="237">
                        <c:v>613.23985479777252</c:v>
                      </c:pt>
                      <c:pt idx="238">
                        <c:v>614.45611384312133</c:v>
                      </c:pt>
                      <c:pt idx="239">
                        <c:v>615.67478513557705</c:v>
                      </c:pt>
                      <c:pt idx="240">
                        <c:v>616.89587345942925</c:v>
                      </c:pt>
                      <c:pt idx="241">
                        <c:v>618.11938360845704</c:v>
                      </c:pt>
                      <c:pt idx="242">
                        <c:v>619.34532038594716</c:v>
                      </c:pt>
                      <c:pt idx="243">
                        <c:v>620.57368860471252</c:v>
                      </c:pt>
                      <c:pt idx="244">
                        <c:v>621.80449308711195</c:v>
                      </c:pt>
                      <c:pt idx="245">
                        <c:v>623.03773866506788</c:v>
                      </c:pt>
                      <c:pt idx="246">
                        <c:v>624.27343018008708</c:v>
                      </c:pt>
                      <c:pt idx="247">
                        <c:v>625.51157248327752</c:v>
                      </c:pt>
                      <c:pt idx="248">
                        <c:v>626.75217043536952</c:v>
                      </c:pt>
                      <c:pt idx="249">
                        <c:v>627.9952289067329</c:v>
                      </c:pt>
                      <c:pt idx="250">
                        <c:v>629.24075277739792</c:v>
                      </c:pt>
                      <c:pt idx="251">
                        <c:v>630.48874693707307</c:v>
                      </c:pt>
                      <c:pt idx="252">
                        <c:v>631.73921628516496</c:v>
                      </c:pt>
                      <c:pt idx="253">
                        <c:v>632.99216573079718</c:v>
                      </c:pt>
                      <c:pt idx="254">
                        <c:v>634.24760019282996</c:v>
                      </c:pt>
                      <c:pt idx="255">
                        <c:v>635.50552459987921</c:v>
                      </c:pt>
                      <c:pt idx="256">
                        <c:v>636.76594389033551</c:v>
                      </c:pt>
                      <c:pt idx="257">
                        <c:v>638.0288630123847</c:v>
                      </c:pt>
                      <c:pt idx="258">
                        <c:v>639.29428692402587</c:v>
                      </c:pt>
                      <c:pt idx="259">
                        <c:v>640.56222059309187</c:v>
                      </c:pt>
                      <c:pt idx="260">
                        <c:v>641.83266899726834</c:v>
                      </c:pt>
                      <c:pt idx="261">
                        <c:v>643.10563712411283</c:v>
                      </c:pt>
                      <c:pt idx="262">
                        <c:v>644.38112997107544</c:v>
                      </c:pt>
                      <c:pt idx="263">
                        <c:v>645.65915254551828</c:v>
                      </c:pt>
                      <c:pt idx="264">
                        <c:v>646.93970986473357</c:v>
                      </c:pt>
                      <c:pt idx="265">
                        <c:v>648.22280695596521</c:v>
                      </c:pt>
                      <c:pt idx="266">
                        <c:v>649.508448856428</c:v>
                      </c:pt>
                      <c:pt idx="267">
                        <c:v>650.79664061332653</c:v>
                      </c:pt>
                      <c:pt idx="268">
                        <c:v>652.0873872838763</c:v>
                      </c:pt>
                      <c:pt idx="269">
                        <c:v>653.38069393532282</c:v>
                      </c:pt>
                      <c:pt idx="270">
                        <c:v>654.6765656449611</c:v>
                      </c:pt>
                      <c:pt idx="271">
                        <c:v>655.97500750015683</c:v>
                      </c:pt>
                      <c:pt idx="272">
                        <c:v>657.27602459836567</c:v>
                      </c:pt>
                      <c:pt idx="273">
                        <c:v>658.57962204715216</c:v>
                      </c:pt>
                      <c:pt idx="274">
                        <c:v>659.88580496421241</c:v>
                      </c:pt>
                      <c:pt idx="275">
                        <c:v>661.19457847739136</c:v>
                      </c:pt>
                      <c:pt idx="276">
                        <c:v>662.50594772470481</c:v>
                      </c:pt>
                      <c:pt idx="277">
                        <c:v>663.81991785435889</c:v>
                      </c:pt>
                      <c:pt idx="278">
                        <c:v>665.13649402477006</c:v>
                      </c:pt>
                      <c:pt idx="279">
                        <c:v>666.45568140458579</c:v>
                      </c:pt>
                      <c:pt idx="280">
                        <c:v>667.7774851727047</c:v>
                      </c:pt>
                      <c:pt idx="281">
                        <c:v>669.10191051829747</c:v>
                      </c:pt>
                      <c:pt idx="282">
                        <c:v>670.42896264082538</c:v>
                      </c:pt>
                      <c:pt idx="283">
                        <c:v>671.75864675006278</c:v>
                      </c:pt>
                      <c:pt idx="284">
                        <c:v>673.09096806611717</c:v>
                      </c:pt>
                      <c:pt idx="285">
                        <c:v>674.42593181944812</c:v>
                      </c:pt>
                      <c:pt idx="286">
                        <c:v>675.76354325089017</c:v>
                      </c:pt>
                      <c:pt idx="287">
                        <c:v>677.10380761167107</c:v>
                      </c:pt>
                      <c:pt idx="288">
                        <c:v>678.44673016343427</c:v>
                      </c:pt>
                      <c:pt idx="289">
                        <c:v>679.79231617825826</c:v>
                      </c:pt>
                      <c:pt idx="290">
                        <c:v>681.14057093867848</c:v>
                      </c:pt>
                      <c:pt idx="291">
                        <c:v>682.4914997377067</c:v>
                      </c:pt>
                      <c:pt idx="292">
                        <c:v>683.84510787885336</c:v>
                      </c:pt>
                      <c:pt idx="293">
                        <c:v>685.20140067614602</c:v>
                      </c:pt>
                      <c:pt idx="294">
                        <c:v>686.56038345415379</c:v>
                      </c:pt>
                      <c:pt idx="295">
                        <c:v>687.92206154800488</c:v>
                      </c:pt>
                      <c:pt idx="296">
                        <c:v>689.28644030340809</c:v>
                      </c:pt>
                      <c:pt idx="297">
                        <c:v>690.65352507667649</c:v>
                      </c:pt>
                      <c:pt idx="298">
                        <c:v>692.02332123474525</c:v>
                      </c:pt>
                      <c:pt idx="299">
                        <c:v>693.39583415519428</c:v>
                      </c:pt>
                      <c:pt idx="300">
                        <c:v>694.77106922626876</c:v>
                      </c:pt>
                      <c:pt idx="301">
                        <c:v>696.1490318469007</c:v>
                      </c:pt>
                      <c:pt idx="302">
                        <c:v>697.52972742673035</c:v>
                      </c:pt>
                      <c:pt idx="303">
                        <c:v>698.91316138612672</c:v>
                      </c:pt>
                      <c:pt idx="304">
                        <c:v>700.2993391562095</c:v>
                      </c:pt>
                      <c:pt idx="305">
                        <c:v>701.68826617886918</c:v>
                      </c:pt>
                      <c:pt idx="306">
                        <c:v>703.07994790679061</c:v>
                      </c:pt>
                      <c:pt idx="307">
                        <c:v>704.47438980347226</c:v>
                      </c:pt>
                      <c:pt idx="308">
                        <c:v>705.87159734324916</c:v>
                      </c:pt>
                      <c:pt idx="309">
                        <c:v>707.2715760113133</c:v>
                      </c:pt>
                      <c:pt idx="310">
                        <c:v>708.67433130373581</c:v>
                      </c:pt>
                      <c:pt idx="311">
                        <c:v>710.07986872748802</c:v>
                      </c:pt>
                      <c:pt idx="312">
                        <c:v>711.48819380046427</c:v>
                      </c:pt>
                      <c:pt idx="313">
                        <c:v>712.89931205150197</c:v>
                      </c:pt>
                      <c:pt idx="314">
                        <c:v>714.31322902040415</c:v>
                      </c:pt>
                      <c:pt idx="315">
                        <c:v>715.72995025796149</c:v>
                      </c:pt>
                      <c:pt idx="316">
                        <c:v>717.14948132597294</c:v>
                      </c:pt>
                      <c:pt idx="317">
                        <c:v>718.57182779726941</c:v>
                      </c:pt>
                      <c:pt idx="318">
                        <c:v>719.99699525573385</c:v>
                      </c:pt>
                      <c:pt idx="319">
                        <c:v>721.4249892963245</c:v>
                      </c:pt>
                      <c:pt idx="320">
                        <c:v>722.85581552509552</c:v>
                      </c:pt>
                      <c:pt idx="321">
                        <c:v>724.28947955922058</c:v>
                      </c:pt>
                      <c:pt idx="322">
                        <c:v>725.72598702701282</c:v>
                      </c:pt>
                      <c:pt idx="323">
                        <c:v>727.16534356794989</c:v>
                      </c:pt>
                      <c:pt idx="324">
                        <c:v>728.60755483269281</c:v>
                      </c:pt>
                      <c:pt idx="325">
                        <c:v>730.052626483111</c:v>
                      </c:pt>
                      <c:pt idx="326">
                        <c:v>731.5005641923027</c:v>
                      </c:pt>
                      <c:pt idx="327">
                        <c:v>732.95137364461743</c:v>
                      </c:pt>
                      <c:pt idx="328">
                        <c:v>734.40506053567924</c:v>
                      </c:pt>
                      <c:pt idx="329">
                        <c:v>735.86163057240833</c:v>
                      </c:pt>
                      <c:pt idx="330">
                        <c:v>737.32108947304368</c:v>
                      </c:pt>
                      <c:pt idx="331">
                        <c:v>738.783442967165</c:v>
                      </c:pt>
                      <c:pt idx="332">
                        <c:v>740.24869679571668</c:v>
                      </c:pt>
                      <c:pt idx="333">
                        <c:v>741.71685671102819</c:v>
                      </c:pt>
                      <c:pt idx="334">
                        <c:v>743.18792847683847</c:v>
                      </c:pt>
                      <c:pt idx="335">
                        <c:v>744.66191786831723</c:v>
                      </c:pt>
                      <c:pt idx="336">
                        <c:v>746.1388306720894</c:v>
                      </c:pt>
                      <c:pt idx="337">
                        <c:v>747.61867268625576</c:v>
                      </c:pt>
                      <c:pt idx="338">
                        <c:v>749.10144972041701</c:v>
                      </c:pt>
                      <c:pt idx="339">
                        <c:v>750.58716759569563</c:v>
                      </c:pt>
                      <c:pt idx="340">
                        <c:v>752.0758321447604</c:v>
                      </c:pt>
                      <c:pt idx="341">
                        <c:v>753.56744921184747</c:v>
                      </c:pt>
                      <c:pt idx="342">
                        <c:v>755.06202465278443</c:v>
                      </c:pt>
                      <c:pt idx="343">
                        <c:v>756.55956433501262</c:v>
                      </c:pt>
                      <c:pt idx="344">
                        <c:v>758.06007413761017</c:v>
                      </c:pt>
                      <c:pt idx="345">
                        <c:v>759.56355995131662</c:v>
                      </c:pt>
                      <c:pt idx="346">
                        <c:v>761.07002767855317</c:v>
                      </c:pt>
                      <c:pt idx="347">
                        <c:v>762.57948323344897</c:v>
                      </c:pt>
                      <c:pt idx="348">
                        <c:v>764.09193254186198</c:v>
                      </c:pt>
                      <c:pt idx="349">
                        <c:v>765.60738154140358</c:v>
                      </c:pt>
                      <c:pt idx="350">
                        <c:v>767.1258361814605</c:v>
                      </c:pt>
                      <c:pt idx="351">
                        <c:v>768.64730242322037</c:v>
                      </c:pt>
                      <c:pt idx="352">
                        <c:v>770.17178623969312</c:v>
                      </c:pt>
                      <c:pt idx="353">
                        <c:v>771.6992936157352</c:v>
                      </c:pt>
                      <c:pt idx="354">
                        <c:v>773.2298305480731</c:v>
                      </c:pt>
                      <c:pt idx="355">
                        <c:v>774.76340304532664</c:v>
                      </c:pt>
                      <c:pt idx="356">
                        <c:v>776.30001712803335</c:v>
                      </c:pt>
                      <c:pt idx="357">
                        <c:v>777.83967882867046</c:v>
                      </c:pt>
                      <c:pt idx="358">
                        <c:v>779.38239419168065</c:v>
                      </c:pt>
                      <c:pt idx="359">
                        <c:v>780.92816927349395</c:v>
                      </c:pt>
                      <c:pt idx="360">
                        <c:v>0</c:v>
                      </c:pt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9-5BD6-4124-8AF1-DBC64C2F8D6C}"/>
                  </c:ext>
                </c:extLst>
              </c15:ser>
            </c15:filteredAreaSeries>
            <c15:filteredAreaSeries>
              <c15:ser>
                <c:idx val="11"/>
                <c:order val="9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Betalingstabel!$L$10</c15:sqref>
                        </c15:formulaRef>
                      </c:ext>
                    </c:extLst>
                    <c:strCache>
                      <c:ptCount val="1"/>
                      <c:pt idx="0">
                        <c:v>Aflossing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 w="25400">
                    <a:noFill/>
                  </a:ln>
                  <a:effectLst/>
                </c:spPr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Betalingstabel!$L$11:$L$371</c15:sqref>
                        </c15:formulaRef>
                      </c:ext>
                    </c:extLst>
                    <c:numCache>
                      <c:formatCode>"€"\ #,##0.00</c:formatCode>
                      <c:ptCount val="361"/>
                      <c:pt idx="0">
                        <c:v>362.41917591068847</c:v>
                      </c:pt>
                      <c:pt idx="1">
                        <c:v>363.22857873688895</c:v>
                      </c:pt>
                      <c:pt idx="2">
                        <c:v>364.03978922940138</c:v>
                      </c:pt>
                      <c:pt idx="3">
                        <c:v>364.852811425347</c:v>
                      </c:pt>
                      <c:pt idx="4">
                        <c:v>365.66764937086367</c:v>
                      </c:pt>
                      <c:pt idx="5">
                        <c:v>366.48430712112514</c:v>
                      </c:pt>
                      <c:pt idx="6">
                        <c:v>367.30278874036236</c:v>
                      </c:pt>
                      <c:pt idx="7">
                        <c:v>368.12309830188252</c:v>
                      </c:pt>
                      <c:pt idx="8">
                        <c:v>368.9452398880901</c:v>
                      </c:pt>
                      <c:pt idx="9">
                        <c:v>369.7692175905068</c:v>
                      </c:pt>
                      <c:pt idx="10">
                        <c:v>370.5950355097923</c:v>
                      </c:pt>
                      <c:pt idx="11">
                        <c:v>371.42269775576415</c:v>
                      </c:pt>
                      <c:pt idx="12">
                        <c:v>372.25220844741875</c:v>
                      </c:pt>
                      <c:pt idx="13">
                        <c:v>373.08357171295137</c:v>
                      </c:pt>
                      <c:pt idx="14">
                        <c:v>373.91679168977686</c:v>
                      </c:pt>
                      <c:pt idx="15">
                        <c:v>374.75187252455072</c:v>
                      </c:pt>
                      <c:pt idx="16">
                        <c:v>375.58881837318899</c:v>
                      </c:pt>
                      <c:pt idx="17">
                        <c:v>376.42763340088908</c:v>
                      </c:pt>
                      <c:pt idx="18">
                        <c:v>377.26832178215108</c:v>
                      </c:pt>
                      <c:pt idx="19">
                        <c:v>378.11088770079783</c:v>
                      </c:pt>
                      <c:pt idx="20">
                        <c:v>378.95533534999635</c:v>
                      </c:pt>
                      <c:pt idx="21">
                        <c:v>379.80166893227801</c:v>
                      </c:pt>
                      <c:pt idx="22">
                        <c:v>380.64989265956007</c:v>
                      </c:pt>
                      <c:pt idx="23">
                        <c:v>381.50001075316646</c:v>
                      </c:pt>
                      <c:pt idx="24">
                        <c:v>382.35202744384856</c:v>
                      </c:pt>
                      <c:pt idx="25">
                        <c:v>383.2059469718065</c:v>
                      </c:pt>
                      <c:pt idx="26">
                        <c:v>384.06177358671016</c:v>
                      </c:pt>
                      <c:pt idx="27">
                        <c:v>384.9195115477205</c:v>
                      </c:pt>
                      <c:pt idx="28">
                        <c:v>385.77916512351038</c:v>
                      </c:pt>
                      <c:pt idx="29">
                        <c:v>386.6407385922862</c:v>
                      </c:pt>
                      <c:pt idx="30">
                        <c:v>387.50423624180894</c:v>
                      </c:pt>
                      <c:pt idx="31">
                        <c:v>388.36966236941566</c:v>
                      </c:pt>
                      <c:pt idx="32">
                        <c:v>389.23702128204076</c:v>
                      </c:pt>
                      <c:pt idx="33">
                        <c:v>390.10631729623725</c:v>
                      </c:pt>
                      <c:pt idx="34">
                        <c:v>390.97755473819893</c:v>
                      </c:pt>
                      <c:pt idx="35">
                        <c:v>391.85073794378087</c:v>
                      </c:pt>
                      <c:pt idx="36">
                        <c:v>392.72587125852198</c:v>
                      </c:pt>
                      <c:pt idx="37">
                        <c:v>393.60295903766604</c:v>
                      </c:pt>
                      <c:pt idx="38">
                        <c:v>394.48200564618355</c:v>
                      </c:pt>
                      <c:pt idx="39">
                        <c:v>395.36301545879337</c:v>
                      </c:pt>
                      <c:pt idx="40">
                        <c:v>396.24599285998465</c:v>
                      </c:pt>
                      <c:pt idx="41">
                        <c:v>397.13094224403858</c:v>
                      </c:pt>
                      <c:pt idx="42">
                        <c:v>398.01786801505023</c:v>
                      </c:pt>
                      <c:pt idx="43">
                        <c:v>398.90677458695058</c:v>
                      </c:pt>
                      <c:pt idx="44">
                        <c:v>399.797666383528</c:v>
                      </c:pt>
                      <c:pt idx="45">
                        <c:v>400.69054783845127</c:v>
                      </c:pt>
                      <c:pt idx="46">
                        <c:v>401.58542339529049</c:v>
                      </c:pt>
                      <c:pt idx="47">
                        <c:v>402.48229750753995</c:v>
                      </c:pt>
                      <c:pt idx="48">
                        <c:v>403.38117463864018</c:v>
                      </c:pt>
                      <c:pt idx="49">
                        <c:v>404.28205926199979</c:v>
                      </c:pt>
                      <c:pt idx="50">
                        <c:v>405.1849558610183</c:v>
                      </c:pt>
                      <c:pt idx="51">
                        <c:v>406.08986892910781</c:v>
                      </c:pt>
                      <c:pt idx="52">
                        <c:v>406.99680296971627</c:v>
                      </c:pt>
                      <c:pt idx="53">
                        <c:v>407.90576249634859</c:v>
                      </c:pt>
                      <c:pt idx="54">
                        <c:v>408.8167520325905</c:v>
                      </c:pt>
                      <c:pt idx="55">
                        <c:v>409.72977611212985</c:v>
                      </c:pt>
                      <c:pt idx="56">
                        <c:v>410.64483927878035</c:v>
                      </c:pt>
                      <c:pt idx="57">
                        <c:v>411.56194608650293</c:v>
                      </c:pt>
                      <c:pt idx="58">
                        <c:v>412.4811010994294</c:v>
                      </c:pt>
                      <c:pt idx="59">
                        <c:v>413.40230889188479</c:v>
                      </c:pt>
                      <c:pt idx="60">
                        <c:v>414.32557404841003</c:v>
                      </c:pt>
                      <c:pt idx="61">
                        <c:v>415.25090116378482</c:v>
                      </c:pt>
                      <c:pt idx="62">
                        <c:v>416.17829484305054</c:v>
                      </c:pt>
                      <c:pt idx="63">
                        <c:v>417.10775970153344</c:v>
                      </c:pt>
                      <c:pt idx="64">
                        <c:v>418.03930036486685</c:v>
                      </c:pt>
                      <c:pt idx="65">
                        <c:v>418.97292146901503</c:v>
                      </c:pt>
                      <c:pt idx="66">
                        <c:v>419.90862766029585</c:v>
                      </c:pt>
                      <c:pt idx="67">
                        <c:v>420.84642359540385</c:v>
                      </c:pt>
                      <c:pt idx="68">
                        <c:v>421.78631394143366</c:v>
                      </c:pt>
                      <c:pt idx="69">
                        <c:v>422.72830337590284</c:v>
                      </c:pt>
                      <c:pt idx="70">
                        <c:v>423.67239658677573</c:v>
                      </c:pt>
                      <c:pt idx="71">
                        <c:v>424.61859827248617</c:v>
                      </c:pt>
                      <c:pt idx="72">
                        <c:v>425.56691314196138</c:v>
                      </c:pt>
                      <c:pt idx="73">
                        <c:v>426.51734591464515</c:v>
                      </c:pt>
                      <c:pt idx="74">
                        <c:v>427.46990132052116</c:v>
                      </c:pt>
                      <c:pt idx="75">
                        <c:v>428.42458410013705</c:v>
                      </c:pt>
                      <c:pt idx="76">
                        <c:v>429.38139900462733</c:v>
                      </c:pt>
                      <c:pt idx="77">
                        <c:v>430.34035079573772</c:v>
                      </c:pt>
                      <c:pt idx="78">
                        <c:v>431.30144424584819</c:v>
                      </c:pt>
                      <c:pt idx="79">
                        <c:v>432.26468413799722</c:v>
                      </c:pt>
                      <c:pt idx="80">
                        <c:v>433.23007526590544</c:v>
                      </c:pt>
                      <c:pt idx="81">
                        <c:v>434.19762243399924</c:v>
                      </c:pt>
                      <c:pt idx="82">
                        <c:v>435.16733045743518</c:v>
                      </c:pt>
                      <c:pt idx="83">
                        <c:v>436.13920416212346</c:v>
                      </c:pt>
                      <c:pt idx="84">
                        <c:v>437.11324838475213</c:v>
                      </c:pt>
                      <c:pt idx="85">
                        <c:v>438.08946797281146</c:v>
                      </c:pt>
                      <c:pt idx="86">
                        <c:v>439.06786778461742</c:v>
                      </c:pt>
                      <c:pt idx="87">
                        <c:v>440.04845268933633</c:v>
                      </c:pt>
                      <c:pt idx="88">
                        <c:v>441.03122756700924</c:v>
                      </c:pt>
                      <c:pt idx="89">
                        <c:v>442.01619730857556</c:v>
                      </c:pt>
                      <c:pt idx="90">
                        <c:v>443.00336681589806</c:v>
                      </c:pt>
                      <c:pt idx="91">
                        <c:v>443.9927410017869</c:v>
                      </c:pt>
                      <c:pt idx="92">
                        <c:v>444.98432479002417</c:v>
                      </c:pt>
                      <c:pt idx="93">
                        <c:v>445.9781231153886</c:v>
                      </c:pt>
                      <c:pt idx="94">
                        <c:v>446.97414092367961</c:v>
                      </c:pt>
                      <c:pt idx="95">
                        <c:v>447.97238317174242</c:v>
                      </c:pt>
                      <c:pt idx="96">
                        <c:v>448.97285482749271</c:v>
                      </c:pt>
                      <c:pt idx="97">
                        <c:v>449.97556086994081</c:v>
                      </c:pt>
                      <c:pt idx="98">
                        <c:v>450.98050628921698</c:v>
                      </c:pt>
                      <c:pt idx="99">
                        <c:v>451.98769608659626</c:v>
                      </c:pt>
                      <c:pt idx="100">
                        <c:v>452.99713527452303</c:v>
                      </c:pt>
                      <c:pt idx="101">
                        <c:v>454.00882887663607</c:v>
                      </c:pt>
                      <c:pt idx="102">
                        <c:v>455.02278192779391</c:v>
                      </c:pt>
                      <c:pt idx="103">
                        <c:v>456.0389994740994</c:v>
                      </c:pt>
                      <c:pt idx="104">
                        <c:v>457.05748657292492</c:v>
                      </c:pt>
                      <c:pt idx="105">
                        <c:v>458.07824829293776</c:v>
                      </c:pt>
                      <c:pt idx="106">
                        <c:v>459.10128971412524</c:v>
                      </c:pt>
                      <c:pt idx="107">
                        <c:v>460.12661592782018</c:v>
                      </c:pt>
                      <c:pt idx="108">
                        <c:v>461.15423203672566</c:v>
                      </c:pt>
                      <c:pt idx="109">
                        <c:v>462.18414315494101</c:v>
                      </c:pt>
                      <c:pt idx="110">
                        <c:v>463.21635440798701</c:v>
                      </c:pt>
                      <c:pt idx="111">
                        <c:v>464.2508709328315</c:v>
                      </c:pt>
                      <c:pt idx="112">
                        <c:v>465.28769787791481</c:v>
                      </c:pt>
                      <c:pt idx="113">
                        <c:v>466.32684040317548</c:v>
                      </c:pt>
                      <c:pt idx="114">
                        <c:v>467.36830368007594</c:v>
                      </c:pt>
                      <c:pt idx="115">
                        <c:v>468.41209289162805</c:v>
                      </c:pt>
                      <c:pt idx="116">
                        <c:v>469.45821323241938</c:v>
                      </c:pt>
                      <c:pt idx="117">
                        <c:v>470.50666990863846</c:v>
                      </c:pt>
                      <c:pt idx="118">
                        <c:v>471.55746813810111</c:v>
                      </c:pt>
                      <c:pt idx="119">
                        <c:v>472.61061315027621</c:v>
                      </c:pt>
                      <c:pt idx="120">
                        <c:v>473.66611018631187</c:v>
                      </c:pt>
                      <c:pt idx="121">
                        <c:v>474.72396449906131</c:v>
                      </c:pt>
                      <c:pt idx="122">
                        <c:v>475.78418135310915</c:v>
                      </c:pt>
                      <c:pt idx="123">
                        <c:v>476.84676602479777</c:v>
                      </c:pt>
                      <c:pt idx="124">
                        <c:v>477.91172380225316</c:v>
                      </c:pt>
                      <c:pt idx="125">
                        <c:v>478.97905998541154</c:v>
                      </c:pt>
                      <c:pt idx="126">
                        <c:v>480.04877988604557</c:v>
                      </c:pt>
                      <c:pt idx="127">
                        <c:v>481.12088882779108</c:v>
                      </c:pt>
                      <c:pt idx="128">
                        <c:v>482.19539214617316</c:v>
                      </c:pt>
                      <c:pt idx="129">
                        <c:v>483.272295188633</c:v>
                      </c:pt>
                      <c:pt idx="130">
                        <c:v>484.35160331455421</c:v>
                      </c:pt>
                      <c:pt idx="131">
                        <c:v>485.43332189529002</c:v>
                      </c:pt>
                      <c:pt idx="132">
                        <c:v>486.51745631418947</c:v>
                      </c:pt>
                      <c:pt idx="133">
                        <c:v>487.60401196662451</c:v>
                      </c:pt>
                      <c:pt idx="134">
                        <c:v>488.69299426001663</c:v>
                      </c:pt>
                      <c:pt idx="135">
                        <c:v>489.784408613864</c:v>
                      </c:pt>
                      <c:pt idx="136">
                        <c:v>490.87826045976828</c:v>
                      </c:pt>
                      <c:pt idx="137">
                        <c:v>491.97455524146181</c:v>
                      </c:pt>
                      <c:pt idx="138">
                        <c:v>493.07329841483443</c:v>
                      </c:pt>
                      <c:pt idx="139">
                        <c:v>494.17449544796091</c:v>
                      </c:pt>
                      <c:pt idx="140">
                        <c:v>495.27815182112801</c:v>
                      </c:pt>
                      <c:pt idx="141">
                        <c:v>496.38427302686188</c:v>
                      </c:pt>
                      <c:pt idx="142">
                        <c:v>497.4928645699552</c:v>
                      </c:pt>
                      <c:pt idx="143">
                        <c:v>498.60393196749482</c:v>
                      </c:pt>
                      <c:pt idx="144">
                        <c:v>499.71748074888887</c:v>
                      </c:pt>
                      <c:pt idx="145">
                        <c:v>500.83351645589477</c:v>
                      </c:pt>
                      <c:pt idx="146">
                        <c:v>501.95204464264623</c:v>
                      </c:pt>
                      <c:pt idx="147">
                        <c:v>503.07307087568148</c:v>
                      </c:pt>
                      <c:pt idx="148">
                        <c:v>504.19660073397051</c:v>
                      </c:pt>
                      <c:pt idx="149">
                        <c:v>505.32263980894305</c:v>
                      </c:pt>
                      <c:pt idx="150">
                        <c:v>506.45119370451636</c:v>
                      </c:pt>
                      <c:pt idx="151">
                        <c:v>507.58226803712301</c:v>
                      </c:pt>
                      <c:pt idx="152">
                        <c:v>508.71586843573931</c:v>
                      </c:pt>
                      <c:pt idx="153">
                        <c:v>509.85200054191245</c:v>
                      </c:pt>
                      <c:pt idx="154">
                        <c:v>510.99067000978943</c:v>
                      </c:pt>
                      <c:pt idx="155">
                        <c:v>512.13188250614462</c:v>
                      </c:pt>
                      <c:pt idx="156">
                        <c:v>513.2756437104083</c:v>
                      </c:pt>
                      <c:pt idx="157">
                        <c:v>514.42195931469485</c:v>
                      </c:pt>
                      <c:pt idx="158">
                        <c:v>515.57083502383102</c:v>
                      </c:pt>
                      <c:pt idx="159">
                        <c:v>516.72227655538427</c:v>
                      </c:pt>
                      <c:pt idx="160">
                        <c:v>517.87628963969132</c:v>
                      </c:pt>
                      <c:pt idx="161">
                        <c:v>519.03288001988653</c:v>
                      </c:pt>
                      <c:pt idx="162">
                        <c:v>520.19205345193109</c:v>
                      </c:pt>
                      <c:pt idx="163">
                        <c:v>521.35381570464028</c:v>
                      </c:pt>
                      <c:pt idx="164">
                        <c:v>522.518172559714</c:v>
                      </c:pt>
                      <c:pt idx="165">
                        <c:v>523.685129811764</c:v>
                      </c:pt>
                      <c:pt idx="166">
                        <c:v>524.85469326834368</c:v>
                      </c:pt>
                      <c:pt idx="167">
                        <c:v>526.0268687499763</c:v>
                      </c:pt>
                      <c:pt idx="168">
                        <c:v>527.20166209018453</c:v>
                      </c:pt>
                      <c:pt idx="169">
                        <c:v>528.37907913551931</c:v>
                      </c:pt>
                      <c:pt idx="170">
                        <c:v>529.55912574558863</c:v>
                      </c:pt>
                      <c:pt idx="171">
                        <c:v>530.74180779308699</c:v>
                      </c:pt>
                      <c:pt idx="172">
                        <c:v>531.92713116382492</c:v>
                      </c:pt>
                      <c:pt idx="173">
                        <c:v>533.11510175675755</c:v>
                      </c:pt>
                      <c:pt idx="174">
                        <c:v>534.30572548401437</c:v>
                      </c:pt>
                      <c:pt idx="175">
                        <c:v>535.49900827092858</c:v>
                      </c:pt>
                      <c:pt idx="176">
                        <c:v>536.69495605606699</c:v>
                      </c:pt>
                      <c:pt idx="177">
                        <c:v>537.89357479125886</c:v>
                      </c:pt>
                      <c:pt idx="178">
                        <c:v>539.09487044162597</c:v>
                      </c:pt>
                      <c:pt idx="179">
                        <c:v>540.29884898561227</c:v>
                      </c:pt>
                      <c:pt idx="180">
                        <c:v>541.50551641501352</c:v>
                      </c:pt>
                      <c:pt idx="181">
                        <c:v>542.71487873500701</c:v>
                      </c:pt>
                      <c:pt idx="182">
                        <c:v>543.92694196418188</c:v>
                      </c:pt>
                      <c:pt idx="183">
                        <c:v>545.14171213456848</c:v>
                      </c:pt>
                      <c:pt idx="184">
                        <c:v>546.35919529166904</c:v>
                      </c:pt>
                      <c:pt idx="185">
                        <c:v>547.57939749448713</c:v>
                      </c:pt>
                      <c:pt idx="186">
                        <c:v>548.80232481555822</c:v>
                      </c:pt>
                      <c:pt idx="187">
                        <c:v>550.02798334097952</c:v>
                      </c:pt>
                      <c:pt idx="188">
                        <c:v>551.25637917044105</c:v>
                      </c:pt>
                      <c:pt idx="189">
                        <c:v>552.48751841725505</c:v>
                      </c:pt>
                      <c:pt idx="190">
                        <c:v>553.72140720838695</c:v>
                      </c:pt>
                      <c:pt idx="191">
                        <c:v>554.95805168448567</c:v>
                      </c:pt>
                      <c:pt idx="192">
                        <c:v>556.19745799991438</c:v>
                      </c:pt>
                      <c:pt idx="193">
                        <c:v>557.43963232278077</c:v>
                      </c:pt>
                      <c:pt idx="194">
                        <c:v>558.68458083496841</c:v>
                      </c:pt>
                      <c:pt idx="195">
                        <c:v>559.93230973216646</c:v>
                      </c:pt>
                      <c:pt idx="196">
                        <c:v>561.18282522390166</c:v>
                      </c:pt>
                      <c:pt idx="197">
                        <c:v>562.43613353356841</c:v>
                      </c:pt>
                      <c:pt idx="198">
                        <c:v>563.69224089846</c:v>
                      </c:pt>
                      <c:pt idx="199">
                        <c:v>564.95115356979989</c:v>
                      </c:pt>
                      <c:pt idx="200">
                        <c:v>566.21287781277238</c:v>
                      </c:pt>
                      <c:pt idx="201">
                        <c:v>567.47741990655425</c:v>
                      </c:pt>
                      <c:pt idx="202">
                        <c:v>568.74478614434554</c:v>
                      </c:pt>
                      <c:pt idx="203">
                        <c:v>570.01498283340129</c:v>
                      </c:pt>
                      <c:pt idx="204">
                        <c:v>571.28801629506256</c:v>
                      </c:pt>
                      <c:pt idx="205">
                        <c:v>572.56389286478816</c:v>
                      </c:pt>
                      <c:pt idx="206">
                        <c:v>573.84261889218624</c:v>
                      </c:pt>
                      <c:pt idx="207">
                        <c:v>575.12420074104546</c:v>
                      </c:pt>
                      <c:pt idx="208">
                        <c:v>576.40864478936714</c:v>
                      </c:pt>
                      <c:pt idx="209">
                        <c:v>577.69595742939669</c:v>
                      </c:pt>
                      <c:pt idx="210">
                        <c:v>578.98614506765568</c:v>
                      </c:pt>
                      <c:pt idx="211">
                        <c:v>580.27921412497346</c:v>
                      </c:pt>
                      <c:pt idx="212">
                        <c:v>581.57517103651924</c:v>
                      </c:pt>
                      <c:pt idx="213">
                        <c:v>582.87402225183405</c:v>
                      </c:pt>
                      <c:pt idx="214">
                        <c:v>584.17577423486318</c:v>
                      </c:pt>
                      <c:pt idx="215">
                        <c:v>585.48043346398765</c:v>
                      </c:pt>
                      <c:pt idx="216">
                        <c:v>586.78800643205727</c:v>
                      </c:pt>
                      <c:pt idx="217">
                        <c:v>588.09849964642217</c:v>
                      </c:pt>
                      <c:pt idx="218">
                        <c:v>589.41191962896585</c:v>
                      </c:pt>
                      <c:pt idx="219">
                        <c:v>590.72827291613726</c:v>
                      </c:pt>
                      <c:pt idx="220">
                        <c:v>592.04756605898331</c:v>
                      </c:pt>
                      <c:pt idx="221">
                        <c:v>593.36980562318172</c:v>
                      </c:pt>
                      <c:pt idx="222">
                        <c:v>594.69499818907343</c:v>
                      </c:pt>
                      <c:pt idx="223">
                        <c:v>596.02315035169579</c:v>
                      </c:pt>
                      <c:pt idx="224">
                        <c:v>597.3542687208145</c:v>
                      </c:pt>
                      <c:pt idx="225">
                        <c:v>598.68835992095774</c:v>
                      </c:pt>
                      <c:pt idx="226">
                        <c:v>600.02543059144784</c:v>
                      </c:pt>
                      <c:pt idx="227">
                        <c:v>601.36548738643535</c:v>
                      </c:pt>
                      <c:pt idx="228">
                        <c:v>602.70853697493169</c:v>
                      </c:pt>
                      <c:pt idx="229">
                        <c:v>604.05458604084242</c:v>
                      </c:pt>
                      <c:pt idx="230">
                        <c:v>605.4036412830003</c:v>
                      </c:pt>
                      <c:pt idx="231">
                        <c:v>606.75570941519902</c:v>
                      </c:pt>
                      <c:pt idx="232">
                        <c:v>608.11079716622623</c:v>
                      </c:pt>
                      <c:pt idx="233">
                        <c:v>609.4689112798975</c:v>
                      </c:pt>
                      <c:pt idx="234">
                        <c:v>610.83005851508926</c:v>
                      </c:pt>
                      <c:pt idx="235">
                        <c:v>612.19424564577298</c:v>
                      </c:pt>
                      <c:pt idx="236">
                        <c:v>613.56147946104852</c:v>
                      </c:pt>
                      <c:pt idx="237">
                        <c:v>614.93176676517817</c:v>
                      </c:pt>
                      <c:pt idx="238">
                        <c:v>616.30511437762038</c:v>
                      </c:pt>
                      <c:pt idx="239">
                        <c:v>617.6815291330638</c:v>
                      </c:pt>
                      <c:pt idx="240">
                        <c:v>619.061017881461</c:v>
                      </c:pt>
                      <c:pt idx="241">
                        <c:v>620.44358748806292</c:v>
                      </c:pt>
                      <c:pt idx="242">
                        <c:v>621.82924483345289</c:v>
                      </c:pt>
                      <c:pt idx="243">
                        <c:v>623.21799681358095</c:v>
                      </c:pt>
                      <c:pt idx="244">
                        <c:v>624.60985033979796</c:v>
                      </c:pt>
                      <c:pt idx="245">
                        <c:v>626.00481233889013</c:v>
                      </c:pt>
                      <c:pt idx="246">
                        <c:v>627.40288975311364</c:v>
                      </c:pt>
                      <c:pt idx="247">
                        <c:v>628.80408954022892</c:v>
                      </c:pt>
                      <c:pt idx="248">
                        <c:v>630.20841867353545</c:v>
                      </c:pt>
                      <c:pt idx="249">
                        <c:v>631.61588414190635</c:v>
                      </c:pt>
                      <c:pt idx="250">
                        <c:v>633.02649294982325</c:v>
                      </c:pt>
                      <c:pt idx="251">
                        <c:v>634.44025211741121</c:v>
                      </c:pt>
                      <c:pt idx="252">
                        <c:v>635.85716868047336</c:v>
                      </c:pt>
                      <c:pt idx="253">
                        <c:v>637.27724969052645</c:v>
                      </c:pt>
                      <c:pt idx="254">
                        <c:v>638.7005022148353</c:v>
                      </c:pt>
                      <c:pt idx="255">
                        <c:v>640.12693333644847</c:v>
                      </c:pt>
                      <c:pt idx="256">
                        <c:v>641.55655015423315</c:v>
                      </c:pt>
                      <c:pt idx="257">
                        <c:v>642.98935978291092</c:v>
                      </c:pt>
                      <c:pt idx="258">
                        <c:v>644.42536935309272</c:v>
                      </c:pt>
                      <c:pt idx="259">
                        <c:v>645.86458601131471</c:v>
                      </c:pt>
                      <c:pt idx="260">
                        <c:v>647.30701692007324</c:v>
                      </c:pt>
                      <c:pt idx="261">
                        <c:v>648.7526692578615</c:v>
                      </c:pt>
                      <c:pt idx="262">
                        <c:v>650.20155021920402</c:v>
                      </c:pt>
                      <c:pt idx="263">
                        <c:v>651.65366701469361</c:v>
                      </c:pt>
                      <c:pt idx="264">
                        <c:v>653.10902687102634</c:v>
                      </c:pt>
                      <c:pt idx="265">
                        <c:v>654.56763703103832</c:v>
                      </c:pt>
                      <c:pt idx="266">
                        <c:v>656.02950475374098</c:v>
                      </c:pt>
                      <c:pt idx="267">
                        <c:v>657.49463731435765</c:v>
                      </c:pt>
                      <c:pt idx="268">
                        <c:v>658.96304200435975</c:v>
                      </c:pt>
                      <c:pt idx="269">
                        <c:v>660.43472613150277</c:v>
                      </c:pt>
                      <c:pt idx="270">
                        <c:v>661.90969701986319</c:v>
                      </c:pt>
                      <c:pt idx="271">
                        <c:v>663.38796200987417</c:v>
                      </c:pt>
                      <c:pt idx="272">
                        <c:v>664.86952845836288</c:v>
                      </c:pt>
                      <c:pt idx="273">
                        <c:v>666.3544037385866</c:v>
                      </c:pt>
                      <c:pt idx="274">
                        <c:v>667.84259524026947</c:v>
                      </c:pt>
                      <c:pt idx="275">
                        <c:v>669.33411036963935</c:v>
                      </c:pt>
                      <c:pt idx="276">
                        <c:v>670.82895654946492</c:v>
                      </c:pt>
                      <c:pt idx="277">
                        <c:v>672.32714121909203</c:v>
                      </c:pt>
                      <c:pt idx="278">
                        <c:v>673.82867183448138</c:v>
                      </c:pt>
                      <c:pt idx="279">
                        <c:v>675.33355586824507</c:v>
                      </c:pt>
                      <c:pt idx="280">
                        <c:v>676.84180080968406</c:v>
                      </c:pt>
                      <c:pt idx="281">
                        <c:v>678.35341416482572</c:v>
                      </c:pt>
                      <c:pt idx="282">
                        <c:v>679.86840345646056</c:v>
                      </c:pt>
                      <c:pt idx="283">
                        <c:v>681.38677622417993</c:v>
                      </c:pt>
                      <c:pt idx="284">
                        <c:v>682.90854002441392</c:v>
                      </c:pt>
                      <c:pt idx="285">
                        <c:v>684.43370243046843</c:v>
                      </c:pt>
                      <c:pt idx="286">
                        <c:v>685.96227103256319</c:v>
                      </c:pt>
                      <c:pt idx="287">
                        <c:v>687.49425343786925</c:v>
                      </c:pt>
                      <c:pt idx="288">
                        <c:v>689.0296572705472</c:v>
                      </c:pt>
                      <c:pt idx="289">
                        <c:v>690.56849017178467</c:v>
                      </c:pt>
                      <c:pt idx="290">
                        <c:v>692.11075979983502</c:v>
                      </c:pt>
                      <c:pt idx="291">
                        <c:v>693.65647383005467</c:v>
                      </c:pt>
                      <c:pt idx="292">
                        <c:v>695.20563995494172</c:v>
                      </c:pt>
                      <c:pt idx="293">
                        <c:v>696.75826588417453</c:v>
                      </c:pt>
                      <c:pt idx="294">
                        <c:v>698.31435934464912</c:v>
                      </c:pt>
                      <c:pt idx="295">
                        <c:v>699.87392808051879</c:v>
                      </c:pt>
                      <c:pt idx="296">
                        <c:v>701.43697985323206</c:v>
                      </c:pt>
                      <c:pt idx="297">
                        <c:v>703.00352244157091</c:v>
                      </c:pt>
                      <c:pt idx="298">
                        <c:v>704.57356364169038</c:v>
                      </c:pt>
                      <c:pt idx="299">
                        <c:v>706.14711126715679</c:v>
                      </c:pt>
                      <c:pt idx="300">
                        <c:v>707.72417314898689</c:v>
                      </c:pt>
                      <c:pt idx="301">
                        <c:v>709.30475713568626</c:v>
                      </c:pt>
                      <c:pt idx="302">
                        <c:v>710.88887109328925</c:v>
                      </c:pt>
                      <c:pt idx="303">
                        <c:v>712.47652290539759</c:v>
                      </c:pt>
                      <c:pt idx="304">
                        <c:v>714.06772047321965</c:v>
                      </c:pt>
                      <c:pt idx="305">
                        <c:v>715.66247171560985</c:v>
                      </c:pt>
                      <c:pt idx="306">
                        <c:v>717.26078456910807</c:v>
                      </c:pt>
                      <c:pt idx="307">
                        <c:v>718.86266698797908</c:v>
                      </c:pt>
                      <c:pt idx="308">
                        <c:v>720.46812694425216</c:v>
                      </c:pt>
                      <c:pt idx="309">
                        <c:v>722.07717242776107</c:v>
                      </c:pt>
                      <c:pt idx="310">
                        <c:v>723.68981144618306</c:v>
                      </c:pt>
                      <c:pt idx="311">
                        <c:v>725.30605202507945</c:v>
                      </c:pt>
                      <c:pt idx="312">
                        <c:v>726.92590220793545</c:v>
                      </c:pt>
                      <c:pt idx="313">
                        <c:v>728.5493700561999</c:v>
                      </c:pt>
                      <c:pt idx="314">
                        <c:v>730.17646364932546</c:v>
                      </c:pt>
                      <c:pt idx="315">
                        <c:v>731.80719108480889</c:v>
                      </c:pt>
                      <c:pt idx="316">
                        <c:v>733.44156047823162</c:v>
                      </c:pt>
                      <c:pt idx="317">
                        <c:v>735.07957996329969</c:v>
                      </c:pt>
                      <c:pt idx="318">
                        <c:v>736.72125769188438</c:v>
                      </c:pt>
                      <c:pt idx="319">
                        <c:v>738.36660183406298</c:v>
                      </c:pt>
                      <c:pt idx="320">
                        <c:v>740.01562057815897</c:v>
                      </c:pt>
                      <c:pt idx="321">
                        <c:v>741.66832213078351</c:v>
                      </c:pt>
                      <c:pt idx="322">
                        <c:v>743.32471471687563</c:v>
                      </c:pt>
                      <c:pt idx="323">
                        <c:v>744.98480657974335</c:v>
                      </c:pt>
                      <c:pt idx="324">
                        <c:v>746.64860598110477</c:v>
                      </c:pt>
                      <c:pt idx="325">
                        <c:v>748.31612120112925</c:v>
                      </c:pt>
                      <c:pt idx="326">
                        <c:v>749.98736053847847</c:v>
                      </c:pt>
                      <c:pt idx="327">
                        <c:v>751.66233231034767</c:v>
                      </c:pt>
                      <c:pt idx="328">
                        <c:v>753.34104485250748</c:v>
                      </c:pt>
                      <c:pt idx="329">
                        <c:v>755.02350651934478</c:v>
                      </c:pt>
                      <c:pt idx="330">
                        <c:v>756.70972568390459</c:v>
                      </c:pt>
                      <c:pt idx="331">
                        <c:v>758.39971073793197</c:v>
                      </c:pt>
                      <c:pt idx="332">
                        <c:v>760.09347009191333</c:v>
                      </c:pt>
                      <c:pt idx="333">
                        <c:v>761.79101217511868</c:v>
                      </c:pt>
                      <c:pt idx="334">
                        <c:v>763.49234543564307</c:v>
                      </c:pt>
                      <c:pt idx="335">
                        <c:v>765.19747834044938</c:v>
                      </c:pt>
                      <c:pt idx="336">
                        <c:v>766.90641937540966</c:v>
                      </c:pt>
                      <c:pt idx="337">
                        <c:v>768.61917704534812</c:v>
                      </c:pt>
                      <c:pt idx="338">
                        <c:v>770.33575987408267</c:v>
                      </c:pt>
                      <c:pt idx="339">
                        <c:v>772.05617640446815</c:v>
                      </c:pt>
                      <c:pt idx="340">
                        <c:v>773.78043519843811</c:v>
                      </c:pt>
                      <c:pt idx="341">
                        <c:v>775.50854483704802</c:v>
                      </c:pt>
                      <c:pt idx="342">
                        <c:v>777.2405139205174</c:v>
                      </c:pt>
                      <c:pt idx="343">
                        <c:v>778.97635106827317</c:v>
                      </c:pt>
                      <c:pt idx="344">
                        <c:v>780.7160649189924</c:v>
                      </c:pt>
                      <c:pt idx="345">
                        <c:v>782.4596641306448</c:v>
                      </c:pt>
                      <c:pt idx="346">
                        <c:v>784.2071573805365</c:v>
                      </c:pt>
                      <c:pt idx="347">
                        <c:v>785.95855336535305</c:v>
                      </c:pt>
                      <c:pt idx="348">
                        <c:v>787.71386080120237</c:v>
                      </c:pt>
                      <c:pt idx="349">
                        <c:v>789.4730884236584</c:v>
                      </c:pt>
                      <c:pt idx="350">
                        <c:v>791.23624498780453</c:v>
                      </c:pt>
                      <c:pt idx="351">
                        <c:v>793.00333926827727</c:v>
                      </c:pt>
                      <c:pt idx="352">
                        <c:v>794.77438005930981</c:v>
                      </c:pt>
                      <c:pt idx="353">
                        <c:v>796.5493761747756</c:v>
                      </c:pt>
                      <c:pt idx="354">
                        <c:v>798.32833644823256</c:v>
                      </c:pt>
                      <c:pt idx="355">
                        <c:v>800.111269732967</c:v>
                      </c:pt>
                      <c:pt idx="356">
                        <c:v>801.89818490203731</c:v>
                      </c:pt>
                      <c:pt idx="357">
                        <c:v>803.68909084831853</c:v>
                      </c:pt>
                      <c:pt idx="358">
                        <c:v>805.48399648454642</c:v>
                      </c:pt>
                      <c:pt idx="359">
                        <c:v>807.28291074336187</c:v>
                      </c:pt>
                      <c:pt idx="360">
                        <c:v>0</c:v>
                      </c:pt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A-5BD6-4124-8AF1-DBC64C2F8D6C}"/>
                  </c:ext>
                </c:extLst>
              </c15:ser>
            </c15:filteredAreaSeries>
            <c15:filteredAreaSeries>
              <c15:ser>
                <c:idx val="7"/>
                <c:order val="10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Betalingstabel!$H$10</c15:sqref>
                        </c15:formulaRef>
                      </c:ext>
                    </c:extLst>
                    <c:strCache>
                      <c:ptCount val="1"/>
                      <c:pt idx="0">
                        <c:v>Maandbetaling MUNT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Betalingstabel!$H$11:$H$371</c15:sqref>
                        </c15:formulaRef>
                      </c:ext>
                    </c:extLst>
                    <c:numCache>
                      <c:formatCode>"€"\ #,##0.00</c:formatCode>
                      <c:ptCount val="361"/>
                      <c:pt idx="0">
                        <c:v>809.08584257735515</c:v>
                      </c:pt>
                      <c:pt idx="1">
                        <c:v>793.40172948942188</c:v>
                      </c:pt>
                      <c:pt idx="2">
                        <c:v>793.40172948942188</c:v>
                      </c:pt>
                      <c:pt idx="3">
                        <c:v>793.40172948942177</c:v>
                      </c:pt>
                      <c:pt idx="4">
                        <c:v>793.40172948942177</c:v>
                      </c:pt>
                      <c:pt idx="5">
                        <c:v>793.40172948942165</c:v>
                      </c:pt>
                      <c:pt idx="6">
                        <c:v>793.40172948942188</c:v>
                      </c:pt>
                      <c:pt idx="7">
                        <c:v>793.40172948942177</c:v>
                      </c:pt>
                      <c:pt idx="8">
                        <c:v>793.40172948942188</c:v>
                      </c:pt>
                      <c:pt idx="9">
                        <c:v>793.40172948942177</c:v>
                      </c:pt>
                      <c:pt idx="10">
                        <c:v>793.40172948942177</c:v>
                      </c:pt>
                      <c:pt idx="11">
                        <c:v>793.40172948942177</c:v>
                      </c:pt>
                      <c:pt idx="12">
                        <c:v>793.40172948942165</c:v>
                      </c:pt>
                      <c:pt idx="13">
                        <c:v>793.40172948942177</c:v>
                      </c:pt>
                      <c:pt idx="14">
                        <c:v>793.40172948942177</c:v>
                      </c:pt>
                      <c:pt idx="15">
                        <c:v>793.40172948942177</c:v>
                      </c:pt>
                      <c:pt idx="16">
                        <c:v>793.40172948942177</c:v>
                      </c:pt>
                      <c:pt idx="17">
                        <c:v>793.40172948942188</c:v>
                      </c:pt>
                      <c:pt idx="18">
                        <c:v>793.40172948942177</c:v>
                      </c:pt>
                      <c:pt idx="19">
                        <c:v>793.40172948942188</c:v>
                      </c:pt>
                      <c:pt idx="20">
                        <c:v>793.40172948942188</c:v>
                      </c:pt>
                      <c:pt idx="21">
                        <c:v>793.40172948942177</c:v>
                      </c:pt>
                      <c:pt idx="22">
                        <c:v>793.40172948942188</c:v>
                      </c:pt>
                      <c:pt idx="23">
                        <c:v>793.401729489422</c:v>
                      </c:pt>
                      <c:pt idx="24">
                        <c:v>793.40172948942188</c:v>
                      </c:pt>
                      <c:pt idx="25">
                        <c:v>793.40172948942188</c:v>
                      </c:pt>
                      <c:pt idx="26">
                        <c:v>793.40172948942211</c:v>
                      </c:pt>
                      <c:pt idx="27">
                        <c:v>793.401729489422</c:v>
                      </c:pt>
                      <c:pt idx="28">
                        <c:v>793.401729489422</c:v>
                      </c:pt>
                      <c:pt idx="29">
                        <c:v>793.401729489422</c:v>
                      </c:pt>
                      <c:pt idx="30">
                        <c:v>793.401729489422</c:v>
                      </c:pt>
                      <c:pt idx="31">
                        <c:v>793.401729489422</c:v>
                      </c:pt>
                      <c:pt idx="32">
                        <c:v>793.40172948942211</c:v>
                      </c:pt>
                      <c:pt idx="33">
                        <c:v>793.40172948942211</c:v>
                      </c:pt>
                      <c:pt idx="34">
                        <c:v>793.401729489422</c:v>
                      </c:pt>
                      <c:pt idx="35">
                        <c:v>793.40172948942211</c:v>
                      </c:pt>
                      <c:pt idx="36">
                        <c:v>793.40172948942211</c:v>
                      </c:pt>
                      <c:pt idx="37">
                        <c:v>793.40172948942222</c:v>
                      </c:pt>
                      <c:pt idx="38">
                        <c:v>793.40172948942222</c:v>
                      </c:pt>
                      <c:pt idx="39">
                        <c:v>793.40172948942222</c:v>
                      </c:pt>
                      <c:pt idx="40">
                        <c:v>793.40172948942222</c:v>
                      </c:pt>
                      <c:pt idx="41">
                        <c:v>793.40172948942222</c:v>
                      </c:pt>
                      <c:pt idx="42">
                        <c:v>793.40172948942222</c:v>
                      </c:pt>
                      <c:pt idx="43">
                        <c:v>793.40172948942234</c:v>
                      </c:pt>
                      <c:pt idx="44">
                        <c:v>793.40172948942234</c:v>
                      </c:pt>
                      <c:pt idx="45">
                        <c:v>793.40172948942222</c:v>
                      </c:pt>
                      <c:pt idx="46">
                        <c:v>793.40172948942234</c:v>
                      </c:pt>
                      <c:pt idx="47">
                        <c:v>793.40172948942234</c:v>
                      </c:pt>
                      <c:pt idx="48">
                        <c:v>793.40172948942234</c:v>
                      </c:pt>
                      <c:pt idx="49">
                        <c:v>793.40172948942222</c:v>
                      </c:pt>
                      <c:pt idx="50">
                        <c:v>793.40172948942234</c:v>
                      </c:pt>
                      <c:pt idx="51">
                        <c:v>793.40172948942245</c:v>
                      </c:pt>
                      <c:pt idx="52">
                        <c:v>793.40172948942245</c:v>
                      </c:pt>
                      <c:pt idx="53">
                        <c:v>793.40172948942234</c:v>
                      </c:pt>
                      <c:pt idx="54">
                        <c:v>793.40172948942245</c:v>
                      </c:pt>
                      <c:pt idx="55">
                        <c:v>793.40172948942234</c:v>
                      </c:pt>
                      <c:pt idx="56">
                        <c:v>793.40172948942245</c:v>
                      </c:pt>
                      <c:pt idx="57">
                        <c:v>793.40172948942245</c:v>
                      </c:pt>
                      <c:pt idx="58">
                        <c:v>793.40172948942222</c:v>
                      </c:pt>
                      <c:pt idx="59">
                        <c:v>793.40172948942245</c:v>
                      </c:pt>
                      <c:pt idx="60">
                        <c:v>793.40172948942234</c:v>
                      </c:pt>
                      <c:pt idx="61">
                        <c:v>793.40172948942234</c:v>
                      </c:pt>
                      <c:pt idx="62">
                        <c:v>793.40172948942222</c:v>
                      </c:pt>
                      <c:pt idx="63">
                        <c:v>793.40172948942234</c:v>
                      </c:pt>
                      <c:pt idx="64">
                        <c:v>793.40172948942234</c:v>
                      </c:pt>
                      <c:pt idx="65">
                        <c:v>793.40172948942234</c:v>
                      </c:pt>
                      <c:pt idx="66">
                        <c:v>793.40172948942222</c:v>
                      </c:pt>
                      <c:pt idx="67">
                        <c:v>793.40172948942234</c:v>
                      </c:pt>
                      <c:pt idx="68">
                        <c:v>793.40172948942234</c:v>
                      </c:pt>
                      <c:pt idx="69">
                        <c:v>793.40172948942222</c:v>
                      </c:pt>
                      <c:pt idx="70">
                        <c:v>793.40172948942234</c:v>
                      </c:pt>
                      <c:pt idx="71">
                        <c:v>793.40172948942245</c:v>
                      </c:pt>
                      <c:pt idx="72">
                        <c:v>793.40172948942256</c:v>
                      </c:pt>
                      <c:pt idx="73">
                        <c:v>793.40172948942234</c:v>
                      </c:pt>
                      <c:pt idx="74">
                        <c:v>793.40172948942234</c:v>
                      </c:pt>
                      <c:pt idx="75">
                        <c:v>793.40172948942245</c:v>
                      </c:pt>
                      <c:pt idx="76">
                        <c:v>793.40172948942245</c:v>
                      </c:pt>
                      <c:pt idx="77">
                        <c:v>793.40172948942234</c:v>
                      </c:pt>
                      <c:pt idx="78">
                        <c:v>793.40172948942234</c:v>
                      </c:pt>
                      <c:pt idx="79">
                        <c:v>793.40172948942222</c:v>
                      </c:pt>
                      <c:pt idx="80">
                        <c:v>793.40172948942234</c:v>
                      </c:pt>
                      <c:pt idx="81">
                        <c:v>793.40172948942245</c:v>
                      </c:pt>
                      <c:pt idx="82">
                        <c:v>793.40172948942234</c:v>
                      </c:pt>
                      <c:pt idx="83">
                        <c:v>793.40172948942222</c:v>
                      </c:pt>
                      <c:pt idx="84">
                        <c:v>793.40172948942245</c:v>
                      </c:pt>
                      <c:pt idx="85">
                        <c:v>793.40172948942234</c:v>
                      </c:pt>
                      <c:pt idx="86">
                        <c:v>793.40172948942211</c:v>
                      </c:pt>
                      <c:pt idx="87">
                        <c:v>793.40172948942234</c:v>
                      </c:pt>
                      <c:pt idx="88">
                        <c:v>793.40172948942234</c:v>
                      </c:pt>
                      <c:pt idx="89">
                        <c:v>793.40172948942245</c:v>
                      </c:pt>
                      <c:pt idx="90">
                        <c:v>793.40172948942234</c:v>
                      </c:pt>
                      <c:pt idx="91">
                        <c:v>793.40172948942234</c:v>
                      </c:pt>
                      <c:pt idx="92">
                        <c:v>793.40172948942234</c:v>
                      </c:pt>
                      <c:pt idx="93">
                        <c:v>793.40172948942234</c:v>
                      </c:pt>
                      <c:pt idx="94">
                        <c:v>793.40172948942245</c:v>
                      </c:pt>
                      <c:pt idx="95">
                        <c:v>793.40172948942234</c:v>
                      </c:pt>
                      <c:pt idx="96">
                        <c:v>793.40172948942245</c:v>
                      </c:pt>
                      <c:pt idx="97">
                        <c:v>793.40172948942245</c:v>
                      </c:pt>
                      <c:pt idx="98">
                        <c:v>793.40172948942222</c:v>
                      </c:pt>
                      <c:pt idx="99">
                        <c:v>793.40172948942245</c:v>
                      </c:pt>
                      <c:pt idx="100">
                        <c:v>793.40172948942245</c:v>
                      </c:pt>
                      <c:pt idx="101">
                        <c:v>793.40172948942245</c:v>
                      </c:pt>
                      <c:pt idx="102">
                        <c:v>793.40172948942234</c:v>
                      </c:pt>
                      <c:pt idx="103">
                        <c:v>793.40172948942234</c:v>
                      </c:pt>
                      <c:pt idx="104">
                        <c:v>793.40172948942245</c:v>
                      </c:pt>
                      <c:pt idx="105">
                        <c:v>793.40172948942234</c:v>
                      </c:pt>
                      <c:pt idx="106">
                        <c:v>793.40172948942245</c:v>
                      </c:pt>
                      <c:pt idx="107">
                        <c:v>793.40172948942245</c:v>
                      </c:pt>
                      <c:pt idx="108">
                        <c:v>793.40172948942234</c:v>
                      </c:pt>
                      <c:pt idx="109">
                        <c:v>793.40172948942245</c:v>
                      </c:pt>
                      <c:pt idx="110">
                        <c:v>793.40172948942234</c:v>
                      </c:pt>
                      <c:pt idx="111">
                        <c:v>793.40172948942222</c:v>
                      </c:pt>
                      <c:pt idx="112">
                        <c:v>793.40172948942245</c:v>
                      </c:pt>
                      <c:pt idx="113">
                        <c:v>793.40172948942245</c:v>
                      </c:pt>
                      <c:pt idx="114">
                        <c:v>793.40172948942245</c:v>
                      </c:pt>
                      <c:pt idx="115">
                        <c:v>793.40172948942279</c:v>
                      </c:pt>
                      <c:pt idx="116">
                        <c:v>793.40172948942245</c:v>
                      </c:pt>
                      <c:pt idx="117">
                        <c:v>793.40172948942256</c:v>
                      </c:pt>
                      <c:pt idx="118">
                        <c:v>793.40172948942256</c:v>
                      </c:pt>
                      <c:pt idx="119">
                        <c:v>782.47701014255426</c:v>
                      </c:pt>
                      <c:pt idx="120">
                        <c:v>782.47701014255426</c:v>
                      </c:pt>
                      <c:pt idx="121">
                        <c:v>782.47701014255415</c:v>
                      </c:pt>
                      <c:pt idx="122">
                        <c:v>782.47701014255415</c:v>
                      </c:pt>
                      <c:pt idx="123">
                        <c:v>782.47701014255415</c:v>
                      </c:pt>
                      <c:pt idx="124">
                        <c:v>782.47701014255415</c:v>
                      </c:pt>
                      <c:pt idx="125">
                        <c:v>782.47701014255404</c:v>
                      </c:pt>
                      <c:pt idx="126">
                        <c:v>782.47701014255415</c:v>
                      </c:pt>
                      <c:pt idx="127">
                        <c:v>782.47701014255404</c:v>
                      </c:pt>
                      <c:pt idx="128">
                        <c:v>782.47701014255392</c:v>
                      </c:pt>
                      <c:pt idx="129">
                        <c:v>782.47701014255404</c:v>
                      </c:pt>
                      <c:pt idx="130">
                        <c:v>782.47701014255415</c:v>
                      </c:pt>
                      <c:pt idx="131">
                        <c:v>782.47701014255415</c:v>
                      </c:pt>
                      <c:pt idx="132">
                        <c:v>782.47701014255415</c:v>
                      </c:pt>
                      <c:pt idx="133">
                        <c:v>782.47701014255404</c:v>
                      </c:pt>
                      <c:pt idx="134">
                        <c:v>782.47701014255392</c:v>
                      </c:pt>
                      <c:pt idx="135">
                        <c:v>782.47701014255392</c:v>
                      </c:pt>
                      <c:pt idx="136">
                        <c:v>782.47701014255415</c:v>
                      </c:pt>
                      <c:pt idx="137">
                        <c:v>782.47701014255392</c:v>
                      </c:pt>
                      <c:pt idx="138">
                        <c:v>782.47701014255404</c:v>
                      </c:pt>
                      <c:pt idx="139">
                        <c:v>782.47701014255415</c:v>
                      </c:pt>
                      <c:pt idx="140">
                        <c:v>782.47701014255415</c:v>
                      </c:pt>
                      <c:pt idx="141">
                        <c:v>782.47701014255415</c:v>
                      </c:pt>
                      <c:pt idx="142">
                        <c:v>782.47701014255404</c:v>
                      </c:pt>
                      <c:pt idx="143">
                        <c:v>782.47701014255415</c:v>
                      </c:pt>
                      <c:pt idx="144">
                        <c:v>782.47701014255415</c:v>
                      </c:pt>
                      <c:pt idx="145">
                        <c:v>782.47701014255415</c:v>
                      </c:pt>
                      <c:pt idx="146">
                        <c:v>782.47701014255426</c:v>
                      </c:pt>
                      <c:pt idx="147">
                        <c:v>782.47701014255415</c:v>
                      </c:pt>
                      <c:pt idx="148">
                        <c:v>782.47701014255415</c:v>
                      </c:pt>
                      <c:pt idx="149">
                        <c:v>782.47701014255404</c:v>
                      </c:pt>
                      <c:pt idx="150">
                        <c:v>782.47701014255415</c:v>
                      </c:pt>
                      <c:pt idx="151">
                        <c:v>782.47701014255415</c:v>
                      </c:pt>
                      <c:pt idx="152">
                        <c:v>782.47701014255415</c:v>
                      </c:pt>
                      <c:pt idx="153">
                        <c:v>782.47701014255415</c:v>
                      </c:pt>
                      <c:pt idx="154">
                        <c:v>782.47701014255415</c:v>
                      </c:pt>
                      <c:pt idx="155">
                        <c:v>782.47701014255415</c:v>
                      </c:pt>
                      <c:pt idx="156">
                        <c:v>782.47701014255426</c:v>
                      </c:pt>
                      <c:pt idx="157">
                        <c:v>782.47701014255426</c:v>
                      </c:pt>
                      <c:pt idx="158">
                        <c:v>782.47701014255426</c:v>
                      </c:pt>
                      <c:pt idx="159">
                        <c:v>782.47701014255415</c:v>
                      </c:pt>
                      <c:pt idx="160">
                        <c:v>782.47701014255415</c:v>
                      </c:pt>
                      <c:pt idx="161">
                        <c:v>782.47701014255426</c:v>
                      </c:pt>
                      <c:pt idx="162">
                        <c:v>782.47701014255415</c:v>
                      </c:pt>
                      <c:pt idx="163">
                        <c:v>782.47701014255415</c:v>
                      </c:pt>
                      <c:pt idx="164">
                        <c:v>782.47701014255415</c:v>
                      </c:pt>
                      <c:pt idx="165">
                        <c:v>782.47701014255415</c:v>
                      </c:pt>
                      <c:pt idx="166">
                        <c:v>782.47701014255415</c:v>
                      </c:pt>
                      <c:pt idx="167">
                        <c:v>782.47701014255404</c:v>
                      </c:pt>
                      <c:pt idx="168">
                        <c:v>782.47701014255404</c:v>
                      </c:pt>
                      <c:pt idx="169">
                        <c:v>782.47701014255404</c:v>
                      </c:pt>
                      <c:pt idx="170">
                        <c:v>782.47701014255392</c:v>
                      </c:pt>
                      <c:pt idx="171">
                        <c:v>782.47701014255404</c:v>
                      </c:pt>
                      <c:pt idx="172">
                        <c:v>782.47701014255426</c:v>
                      </c:pt>
                      <c:pt idx="173">
                        <c:v>782.47701014255415</c:v>
                      </c:pt>
                      <c:pt idx="174">
                        <c:v>782.47701014255415</c:v>
                      </c:pt>
                      <c:pt idx="175">
                        <c:v>782.47701014255415</c:v>
                      </c:pt>
                      <c:pt idx="176">
                        <c:v>782.47701014255415</c:v>
                      </c:pt>
                      <c:pt idx="177">
                        <c:v>782.47701014255426</c:v>
                      </c:pt>
                      <c:pt idx="178">
                        <c:v>782.47701014255415</c:v>
                      </c:pt>
                      <c:pt idx="179">
                        <c:v>782.47701014255415</c:v>
                      </c:pt>
                      <c:pt idx="180">
                        <c:v>782.47701014255415</c:v>
                      </c:pt>
                      <c:pt idx="181">
                        <c:v>782.47701014255415</c:v>
                      </c:pt>
                      <c:pt idx="182">
                        <c:v>782.47701014255404</c:v>
                      </c:pt>
                      <c:pt idx="183">
                        <c:v>782.47701014255404</c:v>
                      </c:pt>
                      <c:pt idx="184">
                        <c:v>782.47701014255415</c:v>
                      </c:pt>
                      <c:pt idx="185">
                        <c:v>782.47701014255415</c:v>
                      </c:pt>
                      <c:pt idx="186">
                        <c:v>782.47701014255404</c:v>
                      </c:pt>
                      <c:pt idx="187">
                        <c:v>782.47701014255404</c:v>
                      </c:pt>
                      <c:pt idx="188">
                        <c:v>782.47701014255392</c:v>
                      </c:pt>
                      <c:pt idx="189">
                        <c:v>782.47701014255404</c:v>
                      </c:pt>
                      <c:pt idx="190">
                        <c:v>782.47701014255404</c:v>
                      </c:pt>
                      <c:pt idx="191">
                        <c:v>782.47701014255404</c:v>
                      </c:pt>
                      <c:pt idx="192">
                        <c:v>782.47701014255415</c:v>
                      </c:pt>
                      <c:pt idx="193">
                        <c:v>782.47701014255415</c:v>
                      </c:pt>
                      <c:pt idx="194">
                        <c:v>782.47701014255392</c:v>
                      </c:pt>
                      <c:pt idx="195">
                        <c:v>782.47701014255404</c:v>
                      </c:pt>
                      <c:pt idx="196">
                        <c:v>782.47701014255415</c:v>
                      </c:pt>
                      <c:pt idx="197">
                        <c:v>782.47701014255404</c:v>
                      </c:pt>
                      <c:pt idx="198">
                        <c:v>782.47701014255404</c:v>
                      </c:pt>
                      <c:pt idx="199">
                        <c:v>782.47701014255415</c:v>
                      </c:pt>
                      <c:pt idx="200">
                        <c:v>782.47701014255392</c:v>
                      </c:pt>
                      <c:pt idx="201">
                        <c:v>782.47701014255404</c:v>
                      </c:pt>
                      <c:pt idx="202">
                        <c:v>782.47701014255415</c:v>
                      </c:pt>
                      <c:pt idx="203">
                        <c:v>782.47701014255415</c:v>
                      </c:pt>
                      <c:pt idx="204">
                        <c:v>782.47701014255415</c:v>
                      </c:pt>
                      <c:pt idx="205">
                        <c:v>782.47701014255415</c:v>
                      </c:pt>
                      <c:pt idx="206">
                        <c:v>782.47701014255415</c:v>
                      </c:pt>
                      <c:pt idx="207">
                        <c:v>782.47701014255392</c:v>
                      </c:pt>
                      <c:pt idx="208">
                        <c:v>782.47701014255392</c:v>
                      </c:pt>
                      <c:pt idx="209">
                        <c:v>782.47701014255426</c:v>
                      </c:pt>
                      <c:pt idx="210">
                        <c:v>782.47701014255404</c:v>
                      </c:pt>
                      <c:pt idx="211">
                        <c:v>782.47701014255426</c:v>
                      </c:pt>
                      <c:pt idx="212">
                        <c:v>782.47701014255415</c:v>
                      </c:pt>
                      <c:pt idx="213">
                        <c:v>782.47701014255415</c:v>
                      </c:pt>
                      <c:pt idx="214">
                        <c:v>782.47701014255415</c:v>
                      </c:pt>
                      <c:pt idx="215">
                        <c:v>782.47701014255415</c:v>
                      </c:pt>
                      <c:pt idx="216">
                        <c:v>782.47701014255415</c:v>
                      </c:pt>
                      <c:pt idx="217">
                        <c:v>782.47701014255404</c:v>
                      </c:pt>
                      <c:pt idx="218">
                        <c:v>782.47701014255426</c:v>
                      </c:pt>
                      <c:pt idx="219">
                        <c:v>782.47701014255404</c:v>
                      </c:pt>
                      <c:pt idx="220">
                        <c:v>782.47701014255404</c:v>
                      </c:pt>
                      <c:pt idx="221">
                        <c:v>782.47701014255426</c:v>
                      </c:pt>
                      <c:pt idx="222">
                        <c:v>782.47701014255415</c:v>
                      </c:pt>
                      <c:pt idx="223">
                        <c:v>782.47701014255404</c:v>
                      </c:pt>
                      <c:pt idx="224">
                        <c:v>782.47701014255415</c:v>
                      </c:pt>
                      <c:pt idx="225">
                        <c:v>782.47701014255404</c:v>
                      </c:pt>
                      <c:pt idx="226">
                        <c:v>782.47701014255404</c:v>
                      </c:pt>
                      <c:pt idx="227">
                        <c:v>782.47701014255415</c:v>
                      </c:pt>
                      <c:pt idx="228">
                        <c:v>782.47701014255392</c:v>
                      </c:pt>
                      <c:pt idx="229">
                        <c:v>782.47701014255415</c:v>
                      </c:pt>
                      <c:pt idx="230">
                        <c:v>782.47701014255415</c:v>
                      </c:pt>
                      <c:pt idx="231">
                        <c:v>782.47701014255415</c:v>
                      </c:pt>
                      <c:pt idx="232">
                        <c:v>782.47701014255415</c:v>
                      </c:pt>
                      <c:pt idx="233">
                        <c:v>782.47701014255415</c:v>
                      </c:pt>
                      <c:pt idx="234">
                        <c:v>782.47701014255392</c:v>
                      </c:pt>
                      <c:pt idx="235">
                        <c:v>782.47701014255415</c:v>
                      </c:pt>
                      <c:pt idx="236">
                        <c:v>782.47701014255404</c:v>
                      </c:pt>
                      <c:pt idx="237">
                        <c:v>782.47701014255404</c:v>
                      </c:pt>
                      <c:pt idx="238">
                        <c:v>782.47701014255381</c:v>
                      </c:pt>
                      <c:pt idx="239">
                        <c:v>782.47701014255404</c:v>
                      </c:pt>
                      <c:pt idx="240">
                        <c:v>782.47701014255404</c:v>
                      </c:pt>
                      <c:pt idx="241">
                        <c:v>782.47701014255392</c:v>
                      </c:pt>
                      <c:pt idx="242">
                        <c:v>782.47701014255404</c:v>
                      </c:pt>
                      <c:pt idx="243">
                        <c:v>782.47701014255381</c:v>
                      </c:pt>
                      <c:pt idx="244">
                        <c:v>782.47701014255392</c:v>
                      </c:pt>
                      <c:pt idx="245">
                        <c:v>782.47701014255381</c:v>
                      </c:pt>
                      <c:pt idx="246">
                        <c:v>782.47701014255392</c:v>
                      </c:pt>
                      <c:pt idx="247">
                        <c:v>782.47701014255392</c:v>
                      </c:pt>
                      <c:pt idx="248">
                        <c:v>782.47701014255404</c:v>
                      </c:pt>
                      <c:pt idx="249">
                        <c:v>782.47701014255392</c:v>
                      </c:pt>
                      <c:pt idx="250">
                        <c:v>782.47701014255392</c:v>
                      </c:pt>
                      <c:pt idx="251">
                        <c:v>782.47701014255392</c:v>
                      </c:pt>
                      <c:pt idx="252">
                        <c:v>782.47701014255392</c:v>
                      </c:pt>
                      <c:pt idx="253">
                        <c:v>782.47701014255392</c:v>
                      </c:pt>
                      <c:pt idx="254">
                        <c:v>782.47701014255392</c:v>
                      </c:pt>
                      <c:pt idx="255">
                        <c:v>782.47701014255404</c:v>
                      </c:pt>
                      <c:pt idx="256">
                        <c:v>782.47701014255392</c:v>
                      </c:pt>
                      <c:pt idx="257">
                        <c:v>782.47701014255404</c:v>
                      </c:pt>
                      <c:pt idx="258">
                        <c:v>782.47701014255392</c:v>
                      </c:pt>
                      <c:pt idx="259">
                        <c:v>782.47701014255392</c:v>
                      </c:pt>
                      <c:pt idx="260">
                        <c:v>782.47701014255415</c:v>
                      </c:pt>
                      <c:pt idx="261">
                        <c:v>782.47701014255404</c:v>
                      </c:pt>
                      <c:pt idx="262">
                        <c:v>782.47701014255381</c:v>
                      </c:pt>
                      <c:pt idx="263">
                        <c:v>782.47701014255404</c:v>
                      </c:pt>
                      <c:pt idx="264">
                        <c:v>782.47701014255404</c:v>
                      </c:pt>
                      <c:pt idx="265">
                        <c:v>782.47701014255392</c:v>
                      </c:pt>
                      <c:pt idx="266">
                        <c:v>782.47701014255404</c:v>
                      </c:pt>
                      <c:pt idx="267">
                        <c:v>782.47701014255404</c:v>
                      </c:pt>
                      <c:pt idx="268">
                        <c:v>782.47701014255404</c:v>
                      </c:pt>
                      <c:pt idx="269">
                        <c:v>782.47701014255415</c:v>
                      </c:pt>
                      <c:pt idx="270">
                        <c:v>782.47701014255404</c:v>
                      </c:pt>
                      <c:pt idx="271">
                        <c:v>782.47701014255404</c:v>
                      </c:pt>
                      <c:pt idx="272">
                        <c:v>782.47701014255415</c:v>
                      </c:pt>
                      <c:pt idx="273">
                        <c:v>782.47701014255392</c:v>
                      </c:pt>
                      <c:pt idx="274">
                        <c:v>782.47701014255392</c:v>
                      </c:pt>
                      <c:pt idx="275">
                        <c:v>782.47701014255392</c:v>
                      </c:pt>
                      <c:pt idx="276">
                        <c:v>782.47701014255381</c:v>
                      </c:pt>
                      <c:pt idx="277">
                        <c:v>782.47701014255392</c:v>
                      </c:pt>
                      <c:pt idx="278">
                        <c:v>782.47701014255392</c:v>
                      </c:pt>
                      <c:pt idx="279">
                        <c:v>782.47701014255392</c:v>
                      </c:pt>
                      <c:pt idx="280">
                        <c:v>782.4770101425537</c:v>
                      </c:pt>
                      <c:pt idx="281">
                        <c:v>782.47701014255392</c:v>
                      </c:pt>
                      <c:pt idx="282">
                        <c:v>782.47701014255381</c:v>
                      </c:pt>
                      <c:pt idx="283">
                        <c:v>782.4770101425537</c:v>
                      </c:pt>
                      <c:pt idx="284">
                        <c:v>782.4770101425537</c:v>
                      </c:pt>
                      <c:pt idx="285">
                        <c:v>782.47701014255358</c:v>
                      </c:pt>
                      <c:pt idx="286">
                        <c:v>782.4770101425537</c:v>
                      </c:pt>
                      <c:pt idx="287">
                        <c:v>782.4770101425537</c:v>
                      </c:pt>
                      <c:pt idx="288">
                        <c:v>782.4770101425537</c:v>
                      </c:pt>
                      <c:pt idx="289">
                        <c:v>782.47701014255358</c:v>
                      </c:pt>
                      <c:pt idx="290">
                        <c:v>782.47701014255358</c:v>
                      </c:pt>
                      <c:pt idx="291">
                        <c:v>782.47701014255335</c:v>
                      </c:pt>
                      <c:pt idx="292">
                        <c:v>782.47701014255358</c:v>
                      </c:pt>
                      <c:pt idx="293">
                        <c:v>782.47701014255324</c:v>
                      </c:pt>
                      <c:pt idx="294">
                        <c:v>782.47701014255324</c:v>
                      </c:pt>
                      <c:pt idx="295">
                        <c:v>782.47701014255358</c:v>
                      </c:pt>
                      <c:pt idx="296">
                        <c:v>782.47701014255324</c:v>
                      </c:pt>
                      <c:pt idx="297">
                        <c:v>782.47701014255324</c:v>
                      </c:pt>
                      <c:pt idx="298">
                        <c:v>782.47701014255324</c:v>
                      </c:pt>
                      <c:pt idx="299">
                        <c:v>782.47701014255335</c:v>
                      </c:pt>
                      <c:pt idx="300">
                        <c:v>782.47701014255335</c:v>
                      </c:pt>
                      <c:pt idx="301">
                        <c:v>782.47701014255324</c:v>
                      </c:pt>
                      <c:pt idx="302">
                        <c:v>782.47701014255324</c:v>
                      </c:pt>
                      <c:pt idx="303">
                        <c:v>782.47701014255324</c:v>
                      </c:pt>
                      <c:pt idx="304">
                        <c:v>782.47701014255358</c:v>
                      </c:pt>
                      <c:pt idx="305">
                        <c:v>782.47701014255335</c:v>
                      </c:pt>
                      <c:pt idx="306">
                        <c:v>782.47701014255335</c:v>
                      </c:pt>
                      <c:pt idx="307">
                        <c:v>782.47701014255324</c:v>
                      </c:pt>
                      <c:pt idx="308">
                        <c:v>782.47701014255324</c:v>
                      </c:pt>
                      <c:pt idx="309">
                        <c:v>782.47701014255324</c:v>
                      </c:pt>
                      <c:pt idx="310">
                        <c:v>782.47701014255335</c:v>
                      </c:pt>
                      <c:pt idx="311">
                        <c:v>782.47701014255313</c:v>
                      </c:pt>
                      <c:pt idx="312">
                        <c:v>782.47701014255324</c:v>
                      </c:pt>
                      <c:pt idx="313">
                        <c:v>782.47701014255335</c:v>
                      </c:pt>
                      <c:pt idx="314">
                        <c:v>782.47701014255335</c:v>
                      </c:pt>
                      <c:pt idx="315">
                        <c:v>782.47701014255358</c:v>
                      </c:pt>
                      <c:pt idx="316">
                        <c:v>782.47701014255335</c:v>
                      </c:pt>
                      <c:pt idx="317">
                        <c:v>782.47701014255335</c:v>
                      </c:pt>
                      <c:pt idx="318">
                        <c:v>782.47701014255324</c:v>
                      </c:pt>
                      <c:pt idx="319">
                        <c:v>782.47701014255335</c:v>
                      </c:pt>
                      <c:pt idx="320">
                        <c:v>782.47701014255335</c:v>
                      </c:pt>
                      <c:pt idx="321">
                        <c:v>782.47701014255358</c:v>
                      </c:pt>
                      <c:pt idx="322">
                        <c:v>782.47701014255335</c:v>
                      </c:pt>
                      <c:pt idx="323">
                        <c:v>782.47701014255358</c:v>
                      </c:pt>
                      <c:pt idx="324">
                        <c:v>782.47701014255335</c:v>
                      </c:pt>
                      <c:pt idx="325">
                        <c:v>782.47701014255335</c:v>
                      </c:pt>
                      <c:pt idx="326">
                        <c:v>782.47701014255358</c:v>
                      </c:pt>
                      <c:pt idx="327">
                        <c:v>782.47701014255358</c:v>
                      </c:pt>
                      <c:pt idx="328">
                        <c:v>782.47701014255358</c:v>
                      </c:pt>
                      <c:pt idx="329">
                        <c:v>782.47701014255358</c:v>
                      </c:pt>
                      <c:pt idx="330">
                        <c:v>782.47701014255358</c:v>
                      </c:pt>
                      <c:pt idx="331">
                        <c:v>782.47701014255335</c:v>
                      </c:pt>
                      <c:pt idx="332">
                        <c:v>782.47701014255358</c:v>
                      </c:pt>
                      <c:pt idx="333">
                        <c:v>782.47701014255358</c:v>
                      </c:pt>
                      <c:pt idx="334">
                        <c:v>782.47701014255358</c:v>
                      </c:pt>
                      <c:pt idx="335">
                        <c:v>782.47701014255335</c:v>
                      </c:pt>
                      <c:pt idx="336">
                        <c:v>782.47701014255335</c:v>
                      </c:pt>
                      <c:pt idx="337">
                        <c:v>782.47701014255335</c:v>
                      </c:pt>
                      <c:pt idx="338">
                        <c:v>782.47701014255358</c:v>
                      </c:pt>
                      <c:pt idx="339">
                        <c:v>782.47701014255335</c:v>
                      </c:pt>
                      <c:pt idx="340">
                        <c:v>782.47701014255335</c:v>
                      </c:pt>
                      <c:pt idx="341">
                        <c:v>782.47701014255324</c:v>
                      </c:pt>
                      <c:pt idx="342">
                        <c:v>782.47701014255335</c:v>
                      </c:pt>
                      <c:pt idx="343">
                        <c:v>782.47701014255358</c:v>
                      </c:pt>
                      <c:pt idx="344">
                        <c:v>782.47701014255335</c:v>
                      </c:pt>
                      <c:pt idx="345">
                        <c:v>782.47701014255358</c:v>
                      </c:pt>
                      <c:pt idx="346">
                        <c:v>782.47701014255335</c:v>
                      </c:pt>
                      <c:pt idx="347">
                        <c:v>782.47701014255335</c:v>
                      </c:pt>
                      <c:pt idx="348">
                        <c:v>782.47701014255335</c:v>
                      </c:pt>
                      <c:pt idx="349">
                        <c:v>782.47701014255358</c:v>
                      </c:pt>
                      <c:pt idx="350">
                        <c:v>782.47701014255335</c:v>
                      </c:pt>
                      <c:pt idx="351">
                        <c:v>782.47701014255335</c:v>
                      </c:pt>
                      <c:pt idx="352">
                        <c:v>782.47701014255335</c:v>
                      </c:pt>
                      <c:pt idx="353">
                        <c:v>782.47701014255335</c:v>
                      </c:pt>
                      <c:pt idx="354">
                        <c:v>782.47701014255335</c:v>
                      </c:pt>
                      <c:pt idx="355">
                        <c:v>782.47701014255324</c:v>
                      </c:pt>
                      <c:pt idx="356">
                        <c:v>782.47701014255335</c:v>
                      </c:pt>
                      <c:pt idx="357">
                        <c:v>782.47701014255324</c:v>
                      </c:pt>
                      <c:pt idx="358">
                        <c:v>782.47701014255324</c:v>
                      </c:pt>
                      <c:pt idx="359">
                        <c:v>782.47701014255301</c:v>
                      </c:pt>
                      <c:pt idx="360">
                        <c:v>0</c:v>
                      </c:pt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B-5BD6-4124-8AF1-DBC64C2F8D6C}"/>
                  </c:ext>
                </c:extLst>
              </c15:ser>
            </c15:filteredAreaSeries>
            <c15:filteredAreaSeries>
              <c15:ser>
                <c:idx val="12"/>
                <c:order val="12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Betalingstabel!$M$10</c15:sqref>
                        </c15:formulaRef>
                      </c:ext>
                    </c:extLst>
                    <c:strCache>
                      <c:ptCount val="1"/>
                      <c:pt idx="0">
                        <c:v>Maandbetaling zonder automatische afslag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 w="25400">
                    <a:noFill/>
                  </a:ln>
                  <a:effectLst/>
                </c:spPr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Betalingstabel!$M$11:$M$371</c15:sqref>
                        </c15:formulaRef>
                      </c:ext>
                    </c:extLst>
                    <c:numCache>
                      <c:formatCode>"€"\ #,##0.00</c:formatCode>
                      <c:ptCount val="361"/>
                      <c:pt idx="0">
                        <c:v>809.08584257735515</c:v>
                      </c:pt>
                      <c:pt idx="1">
                        <c:v>809.08584257735515</c:v>
                      </c:pt>
                      <c:pt idx="2">
                        <c:v>809.08584257735515</c:v>
                      </c:pt>
                      <c:pt idx="3">
                        <c:v>809.08584257735515</c:v>
                      </c:pt>
                      <c:pt idx="4">
                        <c:v>809.08584257735515</c:v>
                      </c:pt>
                      <c:pt idx="5">
                        <c:v>809.08584257735515</c:v>
                      </c:pt>
                      <c:pt idx="6">
                        <c:v>809.08584257735515</c:v>
                      </c:pt>
                      <c:pt idx="7">
                        <c:v>809.08584257735515</c:v>
                      </c:pt>
                      <c:pt idx="8">
                        <c:v>809.08584257735515</c:v>
                      </c:pt>
                      <c:pt idx="9">
                        <c:v>809.08584257735515</c:v>
                      </c:pt>
                      <c:pt idx="10">
                        <c:v>809.08584257735515</c:v>
                      </c:pt>
                      <c:pt idx="11">
                        <c:v>809.08584257735515</c:v>
                      </c:pt>
                      <c:pt idx="12">
                        <c:v>809.08584257735515</c:v>
                      </c:pt>
                      <c:pt idx="13">
                        <c:v>809.08584257735515</c:v>
                      </c:pt>
                      <c:pt idx="14">
                        <c:v>809.08584257735515</c:v>
                      </c:pt>
                      <c:pt idx="15">
                        <c:v>809.08584257735515</c:v>
                      </c:pt>
                      <c:pt idx="16">
                        <c:v>809.08584257735515</c:v>
                      </c:pt>
                      <c:pt idx="17">
                        <c:v>809.08584257735515</c:v>
                      </c:pt>
                      <c:pt idx="18">
                        <c:v>809.08584257735515</c:v>
                      </c:pt>
                      <c:pt idx="19">
                        <c:v>809.08584257735515</c:v>
                      </c:pt>
                      <c:pt idx="20">
                        <c:v>809.08584257735515</c:v>
                      </c:pt>
                      <c:pt idx="21">
                        <c:v>809.08584257735515</c:v>
                      </c:pt>
                      <c:pt idx="22">
                        <c:v>809.08584257735515</c:v>
                      </c:pt>
                      <c:pt idx="23">
                        <c:v>809.08584257735515</c:v>
                      </c:pt>
                      <c:pt idx="24">
                        <c:v>809.08584257735515</c:v>
                      </c:pt>
                      <c:pt idx="25">
                        <c:v>809.08584257735515</c:v>
                      </c:pt>
                      <c:pt idx="26">
                        <c:v>809.08584257735515</c:v>
                      </c:pt>
                      <c:pt idx="27">
                        <c:v>809.08584257735515</c:v>
                      </c:pt>
                      <c:pt idx="28">
                        <c:v>809.08584257735515</c:v>
                      </c:pt>
                      <c:pt idx="29">
                        <c:v>809.08584257735515</c:v>
                      </c:pt>
                      <c:pt idx="30">
                        <c:v>809.08584257735515</c:v>
                      </c:pt>
                      <c:pt idx="31">
                        <c:v>809.08584257735515</c:v>
                      </c:pt>
                      <c:pt idx="32">
                        <c:v>809.08584257735515</c:v>
                      </c:pt>
                      <c:pt idx="33">
                        <c:v>809.08584257735515</c:v>
                      </c:pt>
                      <c:pt idx="34">
                        <c:v>809.08584257735515</c:v>
                      </c:pt>
                      <c:pt idx="35">
                        <c:v>809.08584257735515</c:v>
                      </c:pt>
                      <c:pt idx="36">
                        <c:v>809.08584257735515</c:v>
                      </c:pt>
                      <c:pt idx="37">
                        <c:v>809.08584257735515</c:v>
                      </c:pt>
                      <c:pt idx="38">
                        <c:v>809.08584257735515</c:v>
                      </c:pt>
                      <c:pt idx="39">
                        <c:v>809.08584257735515</c:v>
                      </c:pt>
                      <c:pt idx="40">
                        <c:v>809.08584257735515</c:v>
                      </c:pt>
                      <c:pt idx="41">
                        <c:v>809.08584257735515</c:v>
                      </c:pt>
                      <c:pt idx="42">
                        <c:v>809.08584257735515</c:v>
                      </c:pt>
                      <c:pt idx="43">
                        <c:v>809.08584257735515</c:v>
                      </c:pt>
                      <c:pt idx="44">
                        <c:v>809.08584257735515</c:v>
                      </c:pt>
                      <c:pt idx="45">
                        <c:v>809.08584257735515</c:v>
                      </c:pt>
                      <c:pt idx="46">
                        <c:v>809.08584257735515</c:v>
                      </c:pt>
                      <c:pt idx="47">
                        <c:v>809.08584257735515</c:v>
                      </c:pt>
                      <c:pt idx="48">
                        <c:v>809.08584257735515</c:v>
                      </c:pt>
                      <c:pt idx="49">
                        <c:v>809.08584257735515</c:v>
                      </c:pt>
                      <c:pt idx="50">
                        <c:v>809.08584257735515</c:v>
                      </c:pt>
                      <c:pt idx="51">
                        <c:v>809.08584257735515</c:v>
                      </c:pt>
                      <c:pt idx="52">
                        <c:v>809.08584257735515</c:v>
                      </c:pt>
                      <c:pt idx="53">
                        <c:v>809.08584257735515</c:v>
                      </c:pt>
                      <c:pt idx="54">
                        <c:v>809.08584257735515</c:v>
                      </c:pt>
                      <c:pt idx="55">
                        <c:v>809.08584257735515</c:v>
                      </c:pt>
                      <c:pt idx="56">
                        <c:v>809.08584257735515</c:v>
                      </c:pt>
                      <c:pt idx="57">
                        <c:v>809.08584257735515</c:v>
                      </c:pt>
                      <c:pt idx="58">
                        <c:v>809.08584257735515</c:v>
                      </c:pt>
                      <c:pt idx="59">
                        <c:v>809.08584257735515</c:v>
                      </c:pt>
                      <c:pt idx="60">
                        <c:v>809.08584257735515</c:v>
                      </c:pt>
                      <c:pt idx="61">
                        <c:v>809.08584257735515</c:v>
                      </c:pt>
                      <c:pt idx="62">
                        <c:v>809.08584257735515</c:v>
                      </c:pt>
                      <c:pt idx="63">
                        <c:v>809.08584257735515</c:v>
                      </c:pt>
                      <c:pt idx="64">
                        <c:v>809.08584257735515</c:v>
                      </c:pt>
                      <c:pt idx="65">
                        <c:v>809.08584257735515</c:v>
                      </c:pt>
                      <c:pt idx="66">
                        <c:v>809.08584257735515</c:v>
                      </c:pt>
                      <c:pt idx="67">
                        <c:v>809.08584257735515</c:v>
                      </c:pt>
                      <c:pt idx="68">
                        <c:v>809.08584257735515</c:v>
                      </c:pt>
                      <c:pt idx="69">
                        <c:v>809.08584257735515</c:v>
                      </c:pt>
                      <c:pt idx="70">
                        <c:v>809.08584257735515</c:v>
                      </c:pt>
                      <c:pt idx="71">
                        <c:v>809.08584257735515</c:v>
                      </c:pt>
                      <c:pt idx="72">
                        <c:v>809.08584257735515</c:v>
                      </c:pt>
                      <c:pt idx="73">
                        <c:v>809.08584257735515</c:v>
                      </c:pt>
                      <c:pt idx="74">
                        <c:v>809.08584257735515</c:v>
                      </c:pt>
                      <c:pt idx="75">
                        <c:v>809.08584257735515</c:v>
                      </c:pt>
                      <c:pt idx="76">
                        <c:v>809.08584257735515</c:v>
                      </c:pt>
                      <c:pt idx="77">
                        <c:v>809.08584257735515</c:v>
                      </c:pt>
                      <c:pt idx="78">
                        <c:v>809.08584257735515</c:v>
                      </c:pt>
                      <c:pt idx="79">
                        <c:v>809.08584257735515</c:v>
                      </c:pt>
                      <c:pt idx="80">
                        <c:v>809.08584257735515</c:v>
                      </c:pt>
                      <c:pt idx="81">
                        <c:v>809.08584257735515</c:v>
                      </c:pt>
                      <c:pt idx="82">
                        <c:v>809.08584257735515</c:v>
                      </c:pt>
                      <c:pt idx="83">
                        <c:v>809.08584257735515</c:v>
                      </c:pt>
                      <c:pt idx="84">
                        <c:v>809.08584257735515</c:v>
                      </c:pt>
                      <c:pt idx="85">
                        <c:v>809.08584257735515</c:v>
                      </c:pt>
                      <c:pt idx="86">
                        <c:v>809.08584257735515</c:v>
                      </c:pt>
                      <c:pt idx="87">
                        <c:v>809.08584257735515</c:v>
                      </c:pt>
                      <c:pt idx="88">
                        <c:v>809.08584257735515</c:v>
                      </c:pt>
                      <c:pt idx="89">
                        <c:v>809.08584257735515</c:v>
                      </c:pt>
                      <c:pt idx="90">
                        <c:v>809.08584257735515</c:v>
                      </c:pt>
                      <c:pt idx="91">
                        <c:v>809.08584257735515</c:v>
                      </c:pt>
                      <c:pt idx="92">
                        <c:v>809.08584257735515</c:v>
                      </c:pt>
                      <c:pt idx="93">
                        <c:v>809.08584257735515</c:v>
                      </c:pt>
                      <c:pt idx="94">
                        <c:v>809.08584257735515</c:v>
                      </c:pt>
                      <c:pt idx="95">
                        <c:v>809.08584257735515</c:v>
                      </c:pt>
                      <c:pt idx="96">
                        <c:v>809.08584257735515</c:v>
                      </c:pt>
                      <c:pt idx="97">
                        <c:v>809.08584257735515</c:v>
                      </c:pt>
                      <c:pt idx="98">
                        <c:v>809.08584257735515</c:v>
                      </c:pt>
                      <c:pt idx="99">
                        <c:v>809.08584257735515</c:v>
                      </c:pt>
                      <c:pt idx="100">
                        <c:v>809.08584257735515</c:v>
                      </c:pt>
                      <c:pt idx="101">
                        <c:v>809.08584257735515</c:v>
                      </c:pt>
                      <c:pt idx="102">
                        <c:v>809.08584257735515</c:v>
                      </c:pt>
                      <c:pt idx="103">
                        <c:v>809.08584257735515</c:v>
                      </c:pt>
                      <c:pt idx="104">
                        <c:v>809.08584257735515</c:v>
                      </c:pt>
                      <c:pt idx="105">
                        <c:v>809.08584257735515</c:v>
                      </c:pt>
                      <c:pt idx="106">
                        <c:v>809.08584257735515</c:v>
                      </c:pt>
                      <c:pt idx="107">
                        <c:v>809.08584257735515</c:v>
                      </c:pt>
                      <c:pt idx="108">
                        <c:v>809.08584257735515</c:v>
                      </c:pt>
                      <c:pt idx="109">
                        <c:v>809.08584257735515</c:v>
                      </c:pt>
                      <c:pt idx="110">
                        <c:v>809.08584257735515</c:v>
                      </c:pt>
                      <c:pt idx="111">
                        <c:v>809.08584257735515</c:v>
                      </c:pt>
                      <c:pt idx="112">
                        <c:v>809.08584257735515</c:v>
                      </c:pt>
                      <c:pt idx="113">
                        <c:v>809.08584257735515</c:v>
                      </c:pt>
                      <c:pt idx="114">
                        <c:v>809.08584257735515</c:v>
                      </c:pt>
                      <c:pt idx="115">
                        <c:v>809.08584257735515</c:v>
                      </c:pt>
                      <c:pt idx="116">
                        <c:v>809.08584257735515</c:v>
                      </c:pt>
                      <c:pt idx="117">
                        <c:v>809.08584257735515</c:v>
                      </c:pt>
                      <c:pt idx="118">
                        <c:v>809.08584257735515</c:v>
                      </c:pt>
                      <c:pt idx="119">
                        <c:v>809.08584257735515</c:v>
                      </c:pt>
                      <c:pt idx="120">
                        <c:v>809.08584257735515</c:v>
                      </c:pt>
                      <c:pt idx="121">
                        <c:v>809.08584257735515</c:v>
                      </c:pt>
                      <c:pt idx="122">
                        <c:v>809.08584257735515</c:v>
                      </c:pt>
                      <c:pt idx="123">
                        <c:v>809.08584257735515</c:v>
                      </c:pt>
                      <c:pt idx="124">
                        <c:v>809.08584257735515</c:v>
                      </c:pt>
                      <c:pt idx="125">
                        <c:v>809.08584257735515</c:v>
                      </c:pt>
                      <c:pt idx="126">
                        <c:v>809.08584257735515</c:v>
                      </c:pt>
                      <c:pt idx="127">
                        <c:v>809.08584257735515</c:v>
                      </c:pt>
                      <c:pt idx="128">
                        <c:v>809.08584257735515</c:v>
                      </c:pt>
                      <c:pt idx="129">
                        <c:v>809.08584257735515</c:v>
                      </c:pt>
                      <c:pt idx="130">
                        <c:v>809.08584257735515</c:v>
                      </c:pt>
                      <c:pt idx="131">
                        <c:v>809.08584257735515</c:v>
                      </c:pt>
                      <c:pt idx="132">
                        <c:v>809.08584257735515</c:v>
                      </c:pt>
                      <c:pt idx="133">
                        <c:v>809.08584257735515</c:v>
                      </c:pt>
                      <c:pt idx="134">
                        <c:v>809.08584257735515</c:v>
                      </c:pt>
                      <c:pt idx="135">
                        <c:v>809.08584257735515</c:v>
                      </c:pt>
                      <c:pt idx="136">
                        <c:v>809.08584257735515</c:v>
                      </c:pt>
                      <c:pt idx="137">
                        <c:v>809.08584257735515</c:v>
                      </c:pt>
                      <c:pt idx="138">
                        <c:v>809.08584257735515</c:v>
                      </c:pt>
                      <c:pt idx="139">
                        <c:v>809.08584257735515</c:v>
                      </c:pt>
                      <c:pt idx="140">
                        <c:v>809.08584257735515</c:v>
                      </c:pt>
                      <c:pt idx="141">
                        <c:v>809.08584257735515</c:v>
                      </c:pt>
                      <c:pt idx="142">
                        <c:v>809.08584257735515</c:v>
                      </c:pt>
                      <c:pt idx="143">
                        <c:v>809.08584257735515</c:v>
                      </c:pt>
                      <c:pt idx="144">
                        <c:v>809.08584257735515</c:v>
                      </c:pt>
                      <c:pt idx="145">
                        <c:v>809.08584257735515</c:v>
                      </c:pt>
                      <c:pt idx="146">
                        <c:v>809.08584257735515</c:v>
                      </c:pt>
                      <c:pt idx="147">
                        <c:v>809.08584257735515</c:v>
                      </c:pt>
                      <c:pt idx="148">
                        <c:v>809.08584257735515</c:v>
                      </c:pt>
                      <c:pt idx="149">
                        <c:v>809.08584257735515</c:v>
                      </c:pt>
                      <c:pt idx="150">
                        <c:v>809.08584257735515</c:v>
                      </c:pt>
                      <c:pt idx="151">
                        <c:v>809.08584257735515</c:v>
                      </c:pt>
                      <c:pt idx="152">
                        <c:v>809.08584257735515</c:v>
                      </c:pt>
                      <c:pt idx="153">
                        <c:v>809.08584257735515</c:v>
                      </c:pt>
                      <c:pt idx="154">
                        <c:v>809.08584257735515</c:v>
                      </c:pt>
                      <c:pt idx="155">
                        <c:v>809.08584257735515</c:v>
                      </c:pt>
                      <c:pt idx="156">
                        <c:v>809.08584257735515</c:v>
                      </c:pt>
                      <c:pt idx="157">
                        <c:v>809.08584257735515</c:v>
                      </c:pt>
                      <c:pt idx="158">
                        <c:v>809.08584257735515</c:v>
                      </c:pt>
                      <c:pt idx="159">
                        <c:v>809.08584257735515</c:v>
                      </c:pt>
                      <c:pt idx="160">
                        <c:v>809.08584257735515</c:v>
                      </c:pt>
                      <c:pt idx="161">
                        <c:v>809.08584257735515</c:v>
                      </c:pt>
                      <c:pt idx="162">
                        <c:v>809.08584257735515</c:v>
                      </c:pt>
                      <c:pt idx="163">
                        <c:v>809.08584257735515</c:v>
                      </c:pt>
                      <c:pt idx="164">
                        <c:v>809.08584257735515</c:v>
                      </c:pt>
                      <c:pt idx="165">
                        <c:v>809.08584257735515</c:v>
                      </c:pt>
                      <c:pt idx="166">
                        <c:v>809.08584257735515</c:v>
                      </c:pt>
                      <c:pt idx="167">
                        <c:v>809.08584257735515</c:v>
                      </c:pt>
                      <c:pt idx="168">
                        <c:v>809.08584257735515</c:v>
                      </c:pt>
                      <c:pt idx="169">
                        <c:v>809.08584257735515</c:v>
                      </c:pt>
                      <c:pt idx="170">
                        <c:v>809.08584257735515</c:v>
                      </c:pt>
                      <c:pt idx="171">
                        <c:v>809.08584257735515</c:v>
                      </c:pt>
                      <c:pt idx="172">
                        <c:v>809.08584257735515</c:v>
                      </c:pt>
                      <c:pt idx="173">
                        <c:v>809.08584257735515</c:v>
                      </c:pt>
                      <c:pt idx="174">
                        <c:v>809.08584257735515</c:v>
                      </c:pt>
                      <c:pt idx="175">
                        <c:v>809.08584257735515</c:v>
                      </c:pt>
                      <c:pt idx="176">
                        <c:v>809.08584257735515</c:v>
                      </c:pt>
                      <c:pt idx="177">
                        <c:v>809.08584257735515</c:v>
                      </c:pt>
                      <c:pt idx="178">
                        <c:v>809.08584257735515</c:v>
                      </c:pt>
                      <c:pt idx="179">
                        <c:v>809.08584257735515</c:v>
                      </c:pt>
                      <c:pt idx="180">
                        <c:v>809.08584257735515</c:v>
                      </c:pt>
                      <c:pt idx="181">
                        <c:v>809.08584257735515</c:v>
                      </c:pt>
                      <c:pt idx="182">
                        <c:v>809.08584257735515</c:v>
                      </c:pt>
                      <c:pt idx="183">
                        <c:v>809.08584257735515</c:v>
                      </c:pt>
                      <c:pt idx="184">
                        <c:v>809.08584257735515</c:v>
                      </c:pt>
                      <c:pt idx="185">
                        <c:v>809.08584257735515</c:v>
                      </c:pt>
                      <c:pt idx="186">
                        <c:v>809.08584257735515</c:v>
                      </c:pt>
                      <c:pt idx="187">
                        <c:v>809.08584257735515</c:v>
                      </c:pt>
                      <c:pt idx="188">
                        <c:v>809.08584257735515</c:v>
                      </c:pt>
                      <c:pt idx="189">
                        <c:v>809.08584257735515</c:v>
                      </c:pt>
                      <c:pt idx="190">
                        <c:v>809.08584257735515</c:v>
                      </c:pt>
                      <c:pt idx="191">
                        <c:v>809.08584257735515</c:v>
                      </c:pt>
                      <c:pt idx="192">
                        <c:v>809.08584257735515</c:v>
                      </c:pt>
                      <c:pt idx="193">
                        <c:v>809.08584257735515</c:v>
                      </c:pt>
                      <c:pt idx="194">
                        <c:v>809.08584257735515</c:v>
                      </c:pt>
                      <c:pt idx="195">
                        <c:v>809.08584257735515</c:v>
                      </c:pt>
                      <c:pt idx="196">
                        <c:v>809.08584257735515</c:v>
                      </c:pt>
                      <c:pt idx="197">
                        <c:v>809.08584257735515</c:v>
                      </c:pt>
                      <c:pt idx="198">
                        <c:v>809.08584257735515</c:v>
                      </c:pt>
                      <c:pt idx="199">
                        <c:v>809.08584257735515</c:v>
                      </c:pt>
                      <c:pt idx="200">
                        <c:v>809.08584257735515</c:v>
                      </c:pt>
                      <c:pt idx="201">
                        <c:v>809.08584257735515</c:v>
                      </c:pt>
                      <c:pt idx="202">
                        <c:v>809.08584257735515</c:v>
                      </c:pt>
                      <c:pt idx="203">
                        <c:v>809.08584257735515</c:v>
                      </c:pt>
                      <c:pt idx="204">
                        <c:v>809.08584257735515</c:v>
                      </c:pt>
                      <c:pt idx="205">
                        <c:v>809.08584257735515</c:v>
                      </c:pt>
                      <c:pt idx="206">
                        <c:v>809.08584257735515</c:v>
                      </c:pt>
                      <c:pt idx="207">
                        <c:v>809.08584257735515</c:v>
                      </c:pt>
                      <c:pt idx="208">
                        <c:v>809.08584257735515</c:v>
                      </c:pt>
                      <c:pt idx="209">
                        <c:v>809.08584257735515</c:v>
                      </c:pt>
                      <c:pt idx="210">
                        <c:v>809.08584257735515</c:v>
                      </c:pt>
                      <c:pt idx="211">
                        <c:v>809.08584257735515</c:v>
                      </c:pt>
                      <c:pt idx="212">
                        <c:v>809.08584257735515</c:v>
                      </c:pt>
                      <c:pt idx="213">
                        <c:v>809.08584257735515</c:v>
                      </c:pt>
                      <c:pt idx="214">
                        <c:v>809.08584257735515</c:v>
                      </c:pt>
                      <c:pt idx="215">
                        <c:v>809.08584257735515</c:v>
                      </c:pt>
                      <c:pt idx="216">
                        <c:v>809.08584257735515</c:v>
                      </c:pt>
                      <c:pt idx="217">
                        <c:v>809.08584257735515</c:v>
                      </c:pt>
                      <c:pt idx="218">
                        <c:v>809.08584257735515</c:v>
                      </c:pt>
                      <c:pt idx="219">
                        <c:v>809.08584257735515</c:v>
                      </c:pt>
                      <c:pt idx="220">
                        <c:v>809.08584257735515</c:v>
                      </c:pt>
                      <c:pt idx="221">
                        <c:v>809.08584257735515</c:v>
                      </c:pt>
                      <c:pt idx="222">
                        <c:v>809.08584257735515</c:v>
                      </c:pt>
                      <c:pt idx="223">
                        <c:v>809.08584257735515</c:v>
                      </c:pt>
                      <c:pt idx="224">
                        <c:v>809.08584257735515</c:v>
                      </c:pt>
                      <c:pt idx="225">
                        <c:v>809.08584257735515</c:v>
                      </c:pt>
                      <c:pt idx="226">
                        <c:v>809.08584257735515</c:v>
                      </c:pt>
                      <c:pt idx="227">
                        <c:v>809.08584257735515</c:v>
                      </c:pt>
                      <c:pt idx="228">
                        <c:v>809.08584257735515</c:v>
                      </c:pt>
                      <c:pt idx="229">
                        <c:v>809.08584257735515</c:v>
                      </c:pt>
                      <c:pt idx="230">
                        <c:v>809.08584257735515</c:v>
                      </c:pt>
                      <c:pt idx="231">
                        <c:v>809.08584257735515</c:v>
                      </c:pt>
                      <c:pt idx="232">
                        <c:v>809.08584257735515</c:v>
                      </c:pt>
                      <c:pt idx="233">
                        <c:v>809.08584257735515</c:v>
                      </c:pt>
                      <c:pt idx="234">
                        <c:v>809.08584257735515</c:v>
                      </c:pt>
                      <c:pt idx="235">
                        <c:v>809.08584257735515</c:v>
                      </c:pt>
                      <c:pt idx="236">
                        <c:v>809.08584257735515</c:v>
                      </c:pt>
                      <c:pt idx="237">
                        <c:v>809.08584257735515</c:v>
                      </c:pt>
                      <c:pt idx="238">
                        <c:v>809.08584257735515</c:v>
                      </c:pt>
                      <c:pt idx="239">
                        <c:v>809.08584257735515</c:v>
                      </c:pt>
                      <c:pt idx="240">
                        <c:v>809.08584257735515</c:v>
                      </c:pt>
                      <c:pt idx="241">
                        <c:v>809.08584257735515</c:v>
                      </c:pt>
                      <c:pt idx="242">
                        <c:v>809.08584257735515</c:v>
                      </c:pt>
                      <c:pt idx="243">
                        <c:v>809.08584257735515</c:v>
                      </c:pt>
                      <c:pt idx="244">
                        <c:v>809.08584257735515</c:v>
                      </c:pt>
                      <c:pt idx="245">
                        <c:v>809.08584257735515</c:v>
                      </c:pt>
                      <c:pt idx="246">
                        <c:v>809.08584257735515</c:v>
                      </c:pt>
                      <c:pt idx="247">
                        <c:v>809.08584257735515</c:v>
                      </c:pt>
                      <c:pt idx="248">
                        <c:v>809.08584257735515</c:v>
                      </c:pt>
                      <c:pt idx="249">
                        <c:v>809.08584257735515</c:v>
                      </c:pt>
                      <c:pt idx="250">
                        <c:v>809.08584257735515</c:v>
                      </c:pt>
                      <c:pt idx="251">
                        <c:v>809.08584257735515</c:v>
                      </c:pt>
                      <c:pt idx="252">
                        <c:v>809.08584257735515</c:v>
                      </c:pt>
                      <c:pt idx="253">
                        <c:v>809.08584257735515</c:v>
                      </c:pt>
                      <c:pt idx="254">
                        <c:v>809.08584257735515</c:v>
                      </c:pt>
                      <c:pt idx="255">
                        <c:v>809.08584257735515</c:v>
                      </c:pt>
                      <c:pt idx="256">
                        <c:v>809.08584257735515</c:v>
                      </c:pt>
                      <c:pt idx="257">
                        <c:v>809.08584257735515</c:v>
                      </c:pt>
                      <c:pt idx="258">
                        <c:v>809.08584257735515</c:v>
                      </c:pt>
                      <c:pt idx="259">
                        <c:v>809.08584257735515</c:v>
                      </c:pt>
                      <c:pt idx="260">
                        <c:v>809.08584257735515</c:v>
                      </c:pt>
                      <c:pt idx="261">
                        <c:v>809.08584257735515</c:v>
                      </c:pt>
                      <c:pt idx="262">
                        <c:v>809.08584257735515</c:v>
                      </c:pt>
                      <c:pt idx="263">
                        <c:v>809.08584257735515</c:v>
                      </c:pt>
                      <c:pt idx="264">
                        <c:v>809.08584257735515</c:v>
                      </c:pt>
                      <c:pt idx="265">
                        <c:v>809.08584257735515</c:v>
                      </c:pt>
                      <c:pt idx="266">
                        <c:v>809.08584257735515</c:v>
                      </c:pt>
                      <c:pt idx="267">
                        <c:v>809.08584257735515</c:v>
                      </c:pt>
                      <c:pt idx="268">
                        <c:v>809.08584257735515</c:v>
                      </c:pt>
                      <c:pt idx="269">
                        <c:v>809.08584257735515</c:v>
                      </c:pt>
                      <c:pt idx="270">
                        <c:v>809.08584257735515</c:v>
                      </c:pt>
                      <c:pt idx="271">
                        <c:v>809.08584257735515</c:v>
                      </c:pt>
                      <c:pt idx="272">
                        <c:v>809.08584257735515</c:v>
                      </c:pt>
                      <c:pt idx="273">
                        <c:v>809.08584257735515</c:v>
                      </c:pt>
                      <c:pt idx="274">
                        <c:v>809.08584257735515</c:v>
                      </c:pt>
                      <c:pt idx="275">
                        <c:v>809.08584257735515</c:v>
                      </c:pt>
                      <c:pt idx="276">
                        <c:v>809.08584257735515</c:v>
                      </c:pt>
                      <c:pt idx="277">
                        <c:v>809.08584257735515</c:v>
                      </c:pt>
                      <c:pt idx="278">
                        <c:v>809.08584257735515</c:v>
                      </c:pt>
                      <c:pt idx="279">
                        <c:v>809.08584257735515</c:v>
                      </c:pt>
                      <c:pt idx="280">
                        <c:v>809.08584257735515</c:v>
                      </c:pt>
                      <c:pt idx="281">
                        <c:v>809.08584257735515</c:v>
                      </c:pt>
                      <c:pt idx="282">
                        <c:v>809.08584257735515</c:v>
                      </c:pt>
                      <c:pt idx="283">
                        <c:v>809.08584257735515</c:v>
                      </c:pt>
                      <c:pt idx="284">
                        <c:v>809.08584257735515</c:v>
                      </c:pt>
                      <c:pt idx="285">
                        <c:v>809.08584257735515</c:v>
                      </c:pt>
                      <c:pt idx="286">
                        <c:v>809.08584257735515</c:v>
                      </c:pt>
                      <c:pt idx="287">
                        <c:v>809.08584257735515</c:v>
                      </c:pt>
                      <c:pt idx="288">
                        <c:v>809.08584257735515</c:v>
                      </c:pt>
                      <c:pt idx="289">
                        <c:v>809.08584257735515</c:v>
                      </c:pt>
                      <c:pt idx="290">
                        <c:v>809.08584257735515</c:v>
                      </c:pt>
                      <c:pt idx="291">
                        <c:v>809.08584257735515</c:v>
                      </c:pt>
                      <c:pt idx="292">
                        <c:v>809.08584257735515</c:v>
                      </c:pt>
                      <c:pt idx="293">
                        <c:v>809.08584257735515</c:v>
                      </c:pt>
                      <c:pt idx="294">
                        <c:v>809.08584257735515</c:v>
                      </c:pt>
                      <c:pt idx="295">
                        <c:v>809.08584257735515</c:v>
                      </c:pt>
                      <c:pt idx="296">
                        <c:v>809.08584257735515</c:v>
                      </c:pt>
                      <c:pt idx="297">
                        <c:v>809.08584257735515</c:v>
                      </c:pt>
                      <c:pt idx="298">
                        <c:v>809.08584257735515</c:v>
                      </c:pt>
                      <c:pt idx="299">
                        <c:v>809.08584257735515</c:v>
                      </c:pt>
                      <c:pt idx="300">
                        <c:v>809.08584257735515</c:v>
                      </c:pt>
                      <c:pt idx="301">
                        <c:v>809.08584257735515</c:v>
                      </c:pt>
                      <c:pt idx="302">
                        <c:v>809.08584257735515</c:v>
                      </c:pt>
                      <c:pt idx="303">
                        <c:v>809.08584257735515</c:v>
                      </c:pt>
                      <c:pt idx="304">
                        <c:v>809.08584257735515</c:v>
                      </c:pt>
                      <c:pt idx="305">
                        <c:v>809.08584257735515</c:v>
                      </c:pt>
                      <c:pt idx="306">
                        <c:v>809.08584257735515</c:v>
                      </c:pt>
                      <c:pt idx="307">
                        <c:v>809.08584257735515</c:v>
                      </c:pt>
                      <c:pt idx="308">
                        <c:v>809.08584257735515</c:v>
                      </c:pt>
                      <c:pt idx="309">
                        <c:v>809.08584257735515</c:v>
                      </c:pt>
                      <c:pt idx="310">
                        <c:v>809.08584257735515</c:v>
                      </c:pt>
                      <c:pt idx="311">
                        <c:v>809.08584257735515</c:v>
                      </c:pt>
                      <c:pt idx="312">
                        <c:v>809.08584257735515</c:v>
                      </c:pt>
                      <c:pt idx="313">
                        <c:v>809.08584257735515</c:v>
                      </c:pt>
                      <c:pt idx="314">
                        <c:v>809.08584257735515</c:v>
                      </c:pt>
                      <c:pt idx="315">
                        <c:v>809.08584257735515</c:v>
                      </c:pt>
                      <c:pt idx="316">
                        <c:v>809.08584257735515</c:v>
                      </c:pt>
                      <c:pt idx="317">
                        <c:v>809.08584257735515</c:v>
                      </c:pt>
                      <c:pt idx="318">
                        <c:v>809.08584257735515</c:v>
                      </c:pt>
                      <c:pt idx="319">
                        <c:v>809.08584257735515</c:v>
                      </c:pt>
                      <c:pt idx="320">
                        <c:v>809.08584257735515</c:v>
                      </c:pt>
                      <c:pt idx="321">
                        <c:v>809.08584257735515</c:v>
                      </c:pt>
                      <c:pt idx="322">
                        <c:v>809.08584257735515</c:v>
                      </c:pt>
                      <c:pt idx="323">
                        <c:v>809.08584257735515</c:v>
                      </c:pt>
                      <c:pt idx="324">
                        <c:v>809.08584257735515</c:v>
                      </c:pt>
                      <c:pt idx="325">
                        <c:v>809.08584257735515</c:v>
                      </c:pt>
                      <c:pt idx="326">
                        <c:v>809.08584257735515</c:v>
                      </c:pt>
                      <c:pt idx="327">
                        <c:v>809.08584257735515</c:v>
                      </c:pt>
                      <c:pt idx="328">
                        <c:v>809.08584257735515</c:v>
                      </c:pt>
                      <c:pt idx="329">
                        <c:v>809.08584257735515</c:v>
                      </c:pt>
                      <c:pt idx="330">
                        <c:v>809.08584257735515</c:v>
                      </c:pt>
                      <c:pt idx="331">
                        <c:v>809.08584257735515</c:v>
                      </c:pt>
                      <c:pt idx="332">
                        <c:v>809.08584257735515</c:v>
                      </c:pt>
                      <c:pt idx="333">
                        <c:v>809.08584257735515</c:v>
                      </c:pt>
                      <c:pt idx="334">
                        <c:v>809.08584257735515</c:v>
                      </c:pt>
                      <c:pt idx="335">
                        <c:v>809.08584257735515</c:v>
                      </c:pt>
                      <c:pt idx="336">
                        <c:v>809.08584257735515</c:v>
                      </c:pt>
                      <c:pt idx="337">
                        <c:v>809.08584257735515</c:v>
                      </c:pt>
                      <c:pt idx="338">
                        <c:v>809.08584257735515</c:v>
                      </c:pt>
                      <c:pt idx="339">
                        <c:v>809.08584257735515</c:v>
                      </c:pt>
                      <c:pt idx="340">
                        <c:v>809.08584257735515</c:v>
                      </c:pt>
                      <c:pt idx="341">
                        <c:v>809.08584257735515</c:v>
                      </c:pt>
                      <c:pt idx="342">
                        <c:v>809.08584257735515</c:v>
                      </c:pt>
                      <c:pt idx="343">
                        <c:v>809.08584257735515</c:v>
                      </c:pt>
                      <c:pt idx="344">
                        <c:v>809.08584257735515</c:v>
                      </c:pt>
                      <c:pt idx="345">
                        <c:v>809.08584257735515</c:v>
                      </c:pt>
                      <c:pt idx="346">
                        <c:v>809.08584257735515</c:v>
                      </c:pt>
                      <c:pt idx="347">
                        <c:v>809.08584257735515</c:v>
                      </c:pt>
                      <c:pt idx="348">
                        <c:v>809.08584257735515</c:v>
                      </c:pt>
                      <c:pt idx="349">
                        <c:v>809.08584257735515</c:v>
                      </c:pt>
                      <c:pt idx="350">
                        <c:v>809.08584257735515</c:v>
                      </c:pt>
                      <c:pt idx="351">
                        <c:v>809.08584257735515</c:v>
                      </c:pt>
                      <c:pt idx="352">
                        <c:v>809.08584257735515</c:v>
                      </c:pt>
                      <c:pt idx="353">
                        <c:v>809.08584257735515</c:v>
                      </c:pt>
                      <c:pt idx="354">
                        <c:v>809.08584257735515</c:v>
                      </c:pt>
                      <c:pt idx="355">
                        <c:v>809.08584257735515</c:v>
                      </c:pt>
                      <c:pt idx="356">
                        <c:v>809.08584257735515</c:v>
                      </c:pt>
                      <c:pt idx="357">
                        <c:v>809.08584257735515</c:v>
                      </c:pt>
                      <c:pt idx="358">
                        <c:v>809.08584257735515</c:v>
                      </c:pt>
                      <c:pt idx="359">
                        <c:v>809.08584257735515</c:v>
                      </c:pt>
                      <c:pt idx="360">
                        <c:v>0</c:v>
                      </c:pt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C-5BD6-4124-8AF1-DBC64C2F8D6C}"/>
                  </c:ext>
                </c:extLst>
              </c15:ser>
            </c15:filteredAreaSeries>
          </c:ext>
        </c:extLst>
      </c:areaChart>
      <c:catAx>
        <c:axId val="705986416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705988048"/>
        <c:crosses val="autoZero"/>
        <c:auto val="1"/>
        <c:lblAlgn val="ctr"/>
        <c:lblOffset val="100"/>
        <c:noMultiLvlLbl val="0"/>
      </c:catAx>
      <c:valAx>
        <c:axId val="705988048"/>
        <c:scaling>
          <c:orientation val="minMax"/>
          <c:min val="0"/>
        </c:scaling>
        <c:delete val="0"/>
        <c:axPos val="l"/>
        <c:numFmt formatCode="&quot;€&quot;\ #,##0" sourceLinked="0"/>
        <c:majorTickMark val="none"/>
        <c:minorTickMark val="none"/>
        <c:tickLblPos val="nextTo"/>
        <c:spPr>
          <a:noFill/>
          <a:ln>
            <a:solidFill>
              <a:schemeClr val="accent6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7059864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rifa" panose="02000803060000020004" pitchFamily="2" charset="0"/>
                <a:ea typeface="+mn-ea"/>
                <a:cs typeface="+mn-cs"/>
              </a:defRPr>
            </a:pPr>
            <a:endParaRPr lang="nl-NL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rifa" panose="02000803060000020004" pitchFamily="2" charset="0"/>
              <a:ea typeface="+mn-ea"/>
              <a:cs typeface="+mn-cs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2.2222222222222223E-2"/>
          <c:y val="4.6712962962962963E-2"/>
          <c:w val="0.93888888888888888"/>
          <c:h val="0.836628390201224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Dashboard!$Q$34</c:f>
              <c:strCache>
                <c:ptCount val="1"/>
              </c:strCache>
            </c:strRef>
          </c:tx>
          <c:spPr>
            <a:solidFill>
              <a:srgbClr val="00C389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D40-45C0-AF9F-6CBB3D3CA3B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00C389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chemeClr val="accent6">
                            <a:lumMod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F217711-83B1-4DBD-B1FE-DB51E43CB06F}" type="VALUE">
                      <a:rPr lang="en-US">
                        <a:solidFill>
                          <a:srgbClr val="002060"/>
                        </a:solidFill>
                      </a:rPr>
                      <a:pPr>
                        <a:defRPr sz="1200" b="1">
                          <a:solidFill>
                            <a:schemeClr val="accent6">
                              <a:lumMod val="50000"/>
                            </a:schemeClr>
                          </a:solidFill>
                        </a:defRPr>
                      </a:pPr>
                      <a:t>[WAARDE]</a:t>
                    </a:fld>
                    <a:endParaRPr lang="nl-N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accent6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(Dashboard!$R$25,Dashboard!$T$25)</c:f>
              <c:strCache>
                <c:ptCount val="2"/>
                <c:pt idx="0">
                  <c:v>Rentelast MUNT HYPOTHEKEN</c:v>
                </c:pt>
                <c:pt idx="1">
                  <c:v>Rentelast zonder automatische afslag</c:v>
                </c:pt>
              </c:strCache>
            </c:strRef>
          </c:cat>
          <c:val>
            <c:numRef>
              <c:f>(Dashboard!$R$34,Dashboard!$T$34)</c:f>
              <c:numCache>
                <c:formatCode>"€"\ #,##0</c:formatCode>
                <c:ptCount val="2"/>
                <c:pt idx="0">
                  <c:v>83007.449366684683</c:v>
                </c:pt>
                <c:pt idx="1">
                  <c:v>91270.903327847773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D40-45C0-AF9F-6CBB3D3CA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3764816"/>
        <c:axId val="973761008"/>
      </c:barChart>
      <c:catAx>
        <c:axId val="97376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73761008"/>
        <c:crosses val="autoZero"/>
        <c:auto val="1"/>
        <c:lblAlgn val="ctr"/>
        <c:lblOffset val="100"/>
        <c:noMultiLvlLbl val="0"/>
      </c:catAx>
      <c:valAx>
        <c:axId val="97376100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\ #,##0" sourceLinked="1"/>
        <c:majorTickMark val="out"/>
        <c:minorTickMark val="none"/>
        <c:tickLblPos val="nextTo"/>
        <c:crossAx val="973764816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106681</xdr:colOff>
      <xdr:row>3</xdr:row>
      <xdr:rowOff>38099</xdr:rowOff>
    </xdr:from>
    <xdr:to>
      <xdr:col>11</xdr:col>
      <xdr:colOff>333375</xdr:colOff>
      <xdr:row>22</xdr:row>
      <xdr:rowOff>72389</xdr:rowOff>
    </xdr:to>
    <xdr:graphicFrame macro="">
      <xdr:nvGraphicFramePr>
        <xdr:cNvPr id="4" name="Grafie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19</xdr:col>
      <xdr:colOff>381000</xdr:colOff>
      <xdr:row>1</xdr:row>
      <xdr:rowOff>53341</xdr:rowOff>
    </xdr:from>
    <xdr:to>
      <xdr:col>21</xdr:col>
      <xdr:colOff>266700</xdr:colOff>
      <xdr:row>7</xdr:row>
      <xdr:rowOff>25860</xdr:rowOff>
    </xdr:to>
    <xdr:pic>
      <xdr:nvPicPr>
        <xdr:cNvPr id="10" name="Afbeelding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06200" y="253366"/>
          <a:ext cx="1143000" cy="1039319"/>
        </a:xfrm>
        <a:prstGeom prst="rect">
          <a:avLst/>
        </a:prstGeom>
      </xdr:spPr>
    </xdr:pic>
    <xdr:clientData/>
  </xdr:twoCellAnchor>
  <xdr:twoCellAnchor>
    <xdr:from>
      <xdr:col>14</xdr:col>
      <xdr:colOff>90487</xdr:colOff>
      <xdr:row>7</xdr:row>
      <xdr:rowOff>0</xdr:rowOff>
    </xdr:from>
    <xdr:to>
      <xdr:col>21</xdr:col>
      <xdr:colOff>395287</xdr:colOff>
      <xdr:row>21</xdr:row>
      <xdr:rowOff>157162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542925</xdr:colOff>
      <xdr:row>10</xdr:row>
      <xdr:rowOff>200025</xdr:rowOff>
    </xdr:from>
    <xdr:to>
      <xdr:col>12</xdr:col>
      <xdr:colOff>742950</xdr:colOff>
      <xdr:row>13</xdr:row>
      <xdr:rowOff>38100</xdr:rowOff>
    </xdr:to>
    <xdr:sp macro="" textlink="">
      <xdr:nvSpPr>
        <xdr:cNvPr id="5" name="PIJL-OMLAAG 4"/>
        <xdr:cNvSpPr/>
      </xdr:nvSpPr>
      <xdr:spPr>
        <a:xfrm>
          <a:off x="7077075" y="2124075"/>
          <a:ext cx="200025" cy="361950"/>
        </a:xfrm>
        <a:prstGeom prst="downArrow">
          <a:avLst/>
        </a:prstGeom>
        <a:solidFill>
          <a:srgbClr val="00C389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tables/table1.xml><?xml version="1.0" encoding="utf-8"?>
<table xmlns="http://schemas.openxmlformats.org/spreadsheetml/2006/main" id="2" name="Tabel2" displayName="Tabel2" ref="A10:H372" totalsRowShown="0" headerRowDxfId="9" dataDxfId="8">
  <tableColumns count="8">
    <tableColumn id="1" name="Maand" dataDxfId="7"/>
    <tableColumn id="2" name="Schuldrest" dataDxfId="6"/>
    <tableColumn id="3" name="%MW" dataDxfId="5"/>
    <tableColumn id="4" name="Opslag" dataDxfId="4" dataCellStyle="Procent"/>
    <tableColumn id="5" name="Rente" dataDxfId="3"/>
    <tableColumn id="6" name="Rentelast MUNT HYPOTHEKEN" dataDxfId="2"/>
    <tableColumn id="7" name="Aflossing" dataDxfId="1"/>
    <tableColumn id="8" name="Maandbetaling MUNT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showGridLines="0" showRowColHeaders="0" tabSelected="1" zoomScaleNormal="100" workbookViewId="0">
      <selection activeCell="Y24" sqref="Y24"/>
    </sheetView>
  </sheetViews>
  <sheetFormatPr defaultColWidth="9.140625" defaultRowHeight="15"/>
  <cols>
    <col min="1" max="1" width="4.140625" style="17" customWidth="1"/>
    <col min="2" max="2" width="2.42578125" style="17" customWidth="1"/>
    <col min="3" max="3" width="9.140625" style="17" customWidth="1"/>
    <col min="4" max="5" width="9.140625" style="17"/>
    <col min="6" max="6" width="11" style="17" customWidth="1"/>
    <col min="7" max="7" width="10.7109375" style="17" customWidth="1"/>
    <col min="8" max="9" width="10.5703125" style="17" bestFit="1" customWidth="1"/>
    <col min="10" max="10" width="4" style="17" customWidth="1"/>
    <col min="11" max="11" width="11.28515625" style="17" bestFit="1" customWidth="1"/>
    <col min="12" max="12" width="5.85546875" style="17" customWidth="1"/>
    <col min="13" max="13" width="13.42578125" style="17" customWidth="1"/>
    <col min="14" max="14" width="5.7109375" style="17" customWidth="1"/>
    <col min="15" max="20" width="9.140625" style="17"/>
    <col min="21" max="21" width="9.7109375" style="17" customWidth="1"/>
    <col min="22" max="22" width="6.42578125" style="17" customWidth="1"/>
    <col min="23" max="23" width="9.140625" style="17" customWidth="1"/>
    <col min="24" max="16384" width="9.140625" style="17"/>
  </cols>
  <sheetData>
    <row r="1" spans="2:22" ht="9" customHeight="1" thickBot="1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2:22" ht="8.25" customHeight="1" thickTop="1"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9"/>
    </row>
    <row r="3" spans="2:22" ht="15.75" customHeight="1">
      <c r="B3" s="103" t="s">
        <v>32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5"/>
    </row>
    <row r="4" spans="2:22">
      <c r="B4" s="4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41"/>
    </row>
    <row r="5" spans="2:22">
      <c r="B5" s="40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41"/>
    </row>
    <row r="6" spans="2:22">
      <c r="B6" s="40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41"/>
    </row>
    <row r="7" spans="2:22">
      <c r="B7" s="40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41"/>
    </row>
    <row r="8" spans="2:22" ht="23.25">
      <c r="B8" s="48"/>
      <c r="C8" s="49"/>
      <c r="D8" s="49"/>
      <c r="E8" s="49"/>
      <c r="F8" s="49"/>
      <c r="G8" s="49"/>
      <c r="H8" s="49"/>
      <c r="I8" s="49"/>
      <c r="J8" s="49"/>
      <c r="K8" s="49"/>
      <c r="M8" s="102" t="s">
        <v>35</v>
      </c>
      <c r="N8" s="102"/>
      <c r="O8" s="49"/>
      <c r="P8" s="49"/>
      <c r="Q8" s="49"/>
      <c r="R8" s="49"/>
      <c r="S8" s="49"/>
      <c r="T8" s="49"/>
      <c r="U8" s="49"/>
      <c r="V8" s="53"/>
    </row>
    <row r="9" spans="2:22" ht="1.5" customHeight="1">
      <c r="B9" s="48"/>
      <c r="C9" s="49"/>
      <c r="D9" s="49"/>
      <c r="E9" s="49"/>
      <c r="F9" s="49"/>
      <c r="G9" s="49"/>
      <c r="H9" s="49"/>
      <c r="I9" s="49"/>
      <c r="J9" s="49"/>
      <c r="K9" s="49"/>
      <c r="M9" s="54"/>
      <c r="N9" s="54"/>
      <c r="O9" s="49"/>
      <c r="P9" s="49"/>
      <c r="Q9" s="49"/>
      <c r="R9" s="49"/>
      <c r="S9" s="49"/>
      <c r="T9" s="49"/>
      <c r="U9" s="49"/>
      <c r="V9" s="53"/>
    </row>
    <row r="10" spans="2:22" ht="27">
      <c r="B10" s="40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101" t="s">
        <v>36</v>
      </c>
      <c r="N10" s="101"/>
      <c r="O10" s="22"/>
      <c r="P10" s="22"/>
      <c r="Q10" s="22"/>
      <c r="R10" s="22"/>
      <c r="S10" s="22"/>
      <c r="T10" s="22"/>
      <c r="U10" s="22"/>
      <c r="V10" s="41"/>
    </row>
    <row r="11" spans="2:22" ht="23.25" customHeight="1">
      <c r="B11" s="40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100" t="s">
        <v>37</v>
      </c>
      <c r="N11" s="100"/>
      <c r="O11" s="22"/>
      <c r="P11" s="22"/>
      <c r="Q11" s="22"/>
      <c r="R11" s="22"/>
      <c r="S11" s="22"/>
      <c r="T11" s="22"/>
      <c r="U11" s="22"/>
      <c r="V11" s="41"/>
    </row>
    <row r="12" spans="2:22" ht="9" customHeight="1">
      <c r="B12" s="40"/>
      <c r="C12" s="22"/>
      <c r="D12" s="22"/>
      <c r="E12" s="22"/>
      <c r="F12" s="22"/>
      <c r="G12" s="22"/>
      <c r="H12" s="22"/>
      <c r="I12" s="22"/>
      <c r="J12" s="22"/>
      <c r="K12" s="22"/>
      <c r="L12" s="22"/>
      <c r="N12" s="31"/>
      <c r="O12" s="22"/>
      <c r="P12" s="22"/>
      <c r="Q12" s="22"/>
      <c r="R12" s="22"/>
      <c r="S12" s="22"/>
      <c r="T12" s="22"/>
      <c r="U12" s="22"/>
      <c r="V12" s="41"/>
    </row>
    <row r="13" spans="2:22" ht="9" customHeight="1" thickBot="1">
      <c r="B13" s="40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41"/>
    </row>
    <row r="14" spans="2:22" ht="23.25" thickBot="1"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98">
        <f>Betalingstabel!AS372</f>
        <v>8263.4539611630898</v>
      </c>
      <c r="N14" s="99"/>
      <c r="O14" s="51"/>
      <c r="P14" s="51"/>
      <c r="Q14" s="51"/>
      <c r="R14" s="51"/>
      <c r="S14" s="51"/>
      <c r="T14" s="51"/>
      <c r="U14" s="51"/>
      <c r="V14" s="52"/>
    </row>
    <row r="15" spans="2:22" ht="22.5">
      <c r="B15" s="40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92">
        <f>Betalingstabel!AT372</f>
        <v>9.0537659427786313E-2</v>
      </c>
      <c r="N15" s="92"/>
      <c r="O15" s="22"/>
      <c r="P15" s="22"/>
      <c r="Q15" s="22"/>
      <c r="R15" s="22"/>
      <c r="S15" s="22"/>
      <c r="T15" s="22"/>
      <c r="U15" s="22"/>
      <c r="V15" s="41"/>
    </row>
    <row r="16" spans="2:22">
      <c r="B16" s="40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86">
        <f>ROUND(M15*100,0)</f>
        <v>9</v>
      </c>
      <c r="N16" s="22"/>
      <c r="O16" s="22"/>
      <c r="P16" s="22"/>
      <c r="Q16" s="22"/>
      <c r="R16" s="22"/>
      <c r="S16" s="22"/>
      <c r="T16" s="22"/>
      <c r="U16" s="22"/>
      <c r="V16" s="41"/>
    </row>
    <row r="17" spans="2:22" ht="17.25">
      <c r="B17" s="40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107" t="s">
        <v>63</v>
      </c>
      <c r="N17" s="107"/>
      <c r="O17" s="22"/>
      <c r="P17" s="22"/>
      <c r="Q17" s="22"/>
      <c r="R17" s="22"/>
      <c r="S17" s="22"/>
      <c r="T17" s="22"/>
      <c r="U17" s="22"/>
      <c r="V17" s="41"/>
    </row>
    <row r="18" spans="2:22" ht="17.25">
      <c r="B18" s="40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107" t="s">
        <v>64</v>
      </c>
      <c r="N18" s="107"/>
      <c r="O18" s="22"/>
      <c r="P18" s="22"/>
      <c r="Q18" s="22"/>
      <c r="R18" s="22"/>
      <c r="S18" s="22"/>
      <c r="T18" s="22"/>
      <c r="U18" s="22"/>
      <c r="V18" s="41"/>
    </row>
    <row r="19" spans="2:22" ht="22.5">
      <c r="B19" s="40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108">
        <f>Betalingstabel!AU372</f>
        <v>2.4583449674825272E-2</v>
      </c>
      <c r="N19" s="108"/>
      <c r="O19" s="22"/>
      <c r="P19" s="22"/>
      <c r="Q19" s="22"/>
      <c r="R19" s="22"/>
      <c r="S19" s="22"/>
      <c r="T19" s="22"/>
      <c r="U19" s="22"/>
      <c r="V19" s="41"/>
    </row>
    <row r="20" spans="2:22">
      <c r="B20" s="40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109"/>
      <c r="N20" s="109"/>
      <c r="O20" s="22"/>
      <c r="P20" s="22"/>
      <c r="Q20" s="22"/>
      <c r="R20" s="22"/>
      <c r="S20" s="22"/>
      <c r="T20" s="22"/>
      <c r="U20" s="22"/>
      <c r="V20" s="41"/>
    </row>
    <row r="21" spans="2:22">
      <c r="B21" s="40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41"/>
    </row>
    <row r="22" spans="2:22">
      <c r="B22" s="40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41"/>
    </row>
    <row r="23" spans="2:22">
      <c r="B23" s="40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89" t="s">
        <v>27</v>
      </c>
      <c r="Q23" s="89"/>
      <c r="R23" s="89"/>
      <c r="S23" s="89"/>
      <c r="T23" s="89"/>
      <c r="U23" s="89"/>
      <c r="V23" s="41"/>
    </row>
    <row r="24" spans="2:22" ht="37.5" customHeight="1">
      <c r="B24" s="40"/>
      <c r="C24" s="22"/>
      <c r="D24" s="89" t="s">
        <v>31</v>
      </c>
      <c r="E24" s="89"/>
      <c r="F24" s="89"/>
      <c r="G24" s="47"/>
      <c r="H24" s="47"/>
      <c r="I24" s="29"/>
      <c r="J24" s="29"/>
      <c r="K24" s="106" t="s">
        <v>59</v>
      </c>
      <c r="L24" s="106"/>
      <c r="M24" s="69"/>
      <c r="N24" s="22"/>
      <c r="O24" s="22"/>
      <c r="P24" s="89"/>
      <c r="Q24" s="89"/>
      <c r="R24" s="89"/>
      <c r="S24" s="89"/>
      <c r="T24" s="89"/>
      <c r="U24" s="89"/>
      <c r="V24" s="41"/>
    </row>
    <row r="25" spans="2:22" ht="18" customHeight="1">
      <c r="B25" s="40"/>
      <c r="C25" s="22"/>
      <c r="D25" s="22" t="s">
        <v>18</v>
      </c>
      <c r="E25" s="22"/>
      <c r="F25" s="22"/>
      <c r="G25" s="22"/>
      <c r="I25" s="78">
        <v>250000</v>
      </c>
      <c r="J25" s="55"/>
      <c r="K25" s="22"/>
      <c r="L25" s="22"/>
      <c r="M25" s="22"/>
      <c r="N25" s="22"/>
      <c r="O25" s="22"/>
      <c r="P25" s="95" t="s">
        <v>28</v>
      </c>
      <c r="Q25" s="95"/>
      <c r="R25" s="96" t="s">
        <v>34</v>
      </c>
      <c r="S25" s="96"/>
      <c r="T25" s="97" t="s">
        <v>13</v>
      </c>
      <c r="U25" s="97"/>
      <c r="V25" s="41"/>
    </row>
    <row r="26" spans="2:22" ht="15" customHeight="1">
      <c r="B26" s="40"/>
      <c r="C26" s="22"/>
      <c r="D26" s="22" t="s">
        <v>60</v>
      </c>
      <c r="E26" s="22"/>
      <c r="F26" s="22"/>
      <c r="G26" s="22"/>
      <c r="I26" s="55">
        <v>200000</v>
      </c>
      <c r="J26" s="55"/>
      <c r="K26" s="82">
        <v>2.6800000000000001E-2</v>
      </c>
      <c r="L26" s="85">
        <f>K26*100</f>
        <v>2.68</v>
      </c>
      <c r="M26" s="22"/>
      <c r="N26" s="22"/>
      <c r="O26" s="22"/>
      <c r="P26" s="95"/>
      <c r="Q26" s="95"/>
      <c r="R26" s="96"/>
      <c r="S26" s="96"/>
      <c r="T26" s="97"/>
      <c r="U26" s="97"/>
      <c r="V26" s="41"/>
    </row>
    <row r="27" spans="2:22" ht="15" customHeight="1">
      <c r="B27" s="40"/>
      <c r="C27" s="22"/>
      <c r="D27" s="22" t="s">
        <v>61</v>
      </c>
      <c r="E27" s="22"/>
      <c r="F27" s="22"/>
      <c r="G27" s="22"/>
      <c r="I27" s="55">
        <v>0</v>
      </c>
      <c r="J27" s="55"/>
      <c r="K27" s="82">
        <v>2.6800000000000001E-2</v>
      </c>
      <c r="L27" s="22"/>
      <c r="M27" s="22"/>
      <c r="N27" s="22"/>
      <c r="O27" s="22"/>
      <c r="P27" s="24" t="s">
        <v>26</v>
      </c>
      <c r="Q27" s="24"/>
      <c r="R27" s="93">
        <f>Betalingstabel!AP11</f>
        <v>446.66666666666669</v>
      </c>
      <c r="S27" s="93"/>
      <c r="T27" s="94">
        <f>Betalingstabel!AQ11</f>
        <v>446.66666666666669</v>
      </c>
      <c r="U27" s="94"/>
      <c r="V27" s="41"/>
    </row>
    <row r="28" spans="2:22" ht="15" customHeight="1">
      <c r="B28" s="40"/>
      <c r="C28" s="22"/>
      <c r="D28" s="22" t="s">
        <v>62</v>
      </c>
      <c r="E28" s="22"/>
      <c r="F28" s="22"/>
      <c r="G28" s="22"/>
      <c r="I28" s="55">
        <v>0</v>
      </c>
      <c r="J28" s="55"/>
      <c r="K28" s="82">
        <v>2.6800000000000001E-2</v>
      </c>
      <c r="L28" s="22"/>
      <c r="M28" s="22"/>
      <c r="N28" s="22"/>
      <c r="O28" s="22"/>
      <c r="P28" s="24" t="s">
        <v>20</v>
      </c>
      <c r="Q28" s="24"/>
      <c r="R28" s="88">
        <f>Betalingstabel!AP71</f>
        <v>371.61681084501333</v>
      </c>
      <c r="S28" s="88"/>
      <c r="T28" s="90">
        <f>Betalingstabel!AQ71</f>
        <v>394.76026852894512</v>
      </c>
      <c r="U28" s="90"/>
      <c r="V28" s="41"/>
    </row>
    <row r="29" spans="2:22" ht="15" customHeight="1">
      <c r="B29" s="40"/>
      <c r="C29" s="22"/>
      <c r="D29" s="59" t="s">
        <v>38</v>
      </c>
      <c r="E29" s="22"/>
      <c r="F29" s="22"/>
      <c r="G29" s="22"/>
      <c r="I29" s="83">
        <f>SUM(I26:I28)</f>
        <v>200000</v>
      </c>
      <c r="J29" s="55"/>
      <c r="K29" s="87" t="str">
        <f>IF((I25*1.02)&gt;I29," ", "Totale hypotheeklening hoger dan 102% van onderpand waarde")</f>
        <v xml:space="preserve"> </v>
      </c>
      <c r="L29" s="22"/>
      <c r="M29" s="22"/>
      <c r="N29" s="22"/>
      <c r="O29" s="22"/>
      <c r="P29" s="24" t="s">
        <v>21</v>
      </c>
      <c r="Q29" s="24"/>
      <c r="R29" s="88">
        <f>Betalingstabel!AP131</f>
        <v>296.12340005765151</v>
      </c>
      <c r="S29" s="88"/>
      <c r="T29" s="90">
        <f>Betalingstabel!AQ131</f>
        <v>335.41973239104328</v>
      </c>
      <c r="U29" s="90"/>
      <c r="V29" s="41"/>
    </row>
    <row r="30" spans="2:22" ht="15" customHeight="1">
      <c r="B30" s="40"/>
      <c r="C30" s="22"/>
      <c r="D30" s="22" t="s">
        <v>4</v>
      </c>
      <c r="E30" s="22"/>
      <c r="F30" s="22"/>
      <c r="G30" s="22"/>
      <c r="I30" s="79">
        <v>360</v>
      </c>
      <c r="J30" s="56"/>
      <c r="K30" s="22"/>
      <c r="L30" s="22"/>
      <c r="M30" s="22"/>
      <c r="N30" s="22"/>
      <c r="O30" s="22"/>
      <c r="P30" s="24" t="s">
        <v>22</v>
      </c>
      <c r="Q30" s="24"/>
      <c r="R30" s="88">
        <f>Betalingstabel!AP191</f>
        <v>234.72749156360297</v>
      </c>
      <c r="S30" s="88"/>
      <c r="T30" s="90">
        <f>Betalingstabel!AQ191</f>
        <v>267.58032616234169</v>
      </c>
      <c r="U30" s="90"/>
      <c r="V30" s="41"/>
    </row>
    <row r="31" spans="2:22" ht="15" customHeight="1">
      <c r="B31" s="40"/>
      <c r="C31" s="22"/>
      <c r="I31" s="80"/>
      <c r="J31" s="57"/>
      <c r="K31" s="22"/>
      <c r="L31" s="22"/>
      <c r="M31" s="22"/>
      <c r="N31" s="22"/>
      <c r="O31" s="22"/>
      <c r="P31" s="24" t="s">
        <v>23</v>
      </c>
      <c r="Q31" s="24"/>
      <c r="R31" s="88">
        <f>Betalingstabel!AP251</f>
        <v>165.58113668312481</v>
      </c>
      <c r="S31" s="88"/>
      <c r="T31" s="90">
        <f>Betalingstabel!AQ251</f>
        <v>190.02482469589418</v>
      </c>
      <c r="U31" s="90"/>
      <c r="V31" s="41"/>
    </row>
    <row r="32" spans="2:22" ht="15" customHeight="1">
      <c r="B32" s="40"/>
      <c r="C32" s="22"/>
      <c r="D32" s="89" t="s">
        <v>19</v>
      </c>
      <c r="E32" s="89"/>
      <c r="F32" s="89"/>
      <c r="G32" s="89"/>
      <c r="H32" s="89"/>
      <c r="I32" s="89"/>
      <c r="J32" s="89"/>
      <c r="K32" s="89"/>
      <c r="L32" s="89"/>
      <c r="M32" s="89"/>
      <c r="N32" s="36"/>
      <c r="O32" s="36"/>
      <c r="P32" s="24" t="s">
        <v>24</v>
      </c>
      <c r="Q32" s="24"/>
      <c r="R32" s="88">
        <f>Betalingstabel!AP311</f>
        <v>87.705940916284646</v>
      </c>
      <c r="S32" s="88"/>
      <c r="T32" s="90">
        <f>Betalingstabel!AQ311</f>
        <v>101.36166942836832</v>
      </c>
      <c r="U32" s="90"/>
      <c r="V32" s="41"/>
    </row>
    <row r="33" spans="1:22" ht="15" customHeight="1">
      <c r="B33" s="40"/>
      <c r="C33" s="22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36"/>
      <c r="O33" s="36"/>
      <c r="P33" s="24" t="s">
        <v>25</v>
      </c>
      <c r="Q33" s="24"/>
      <c r="R33" s="88">
        <f>Betalingstabel!AP370</f>
        <v>1.5488408690590967</v>
      </c>
      <c r="S33" s="88"/>
      <c r="T33" s="90">
        <f>Betalingstabel!AQ370</f>
        <v>1.8029318339932567</v>
      </c>
      <c r="U33" s="90"/>
      <c r="V33" s="41"/>
    </row>
    <row r="34" spans="1:22" ht="15" customHeight="1">
      <c r="B34" s="40"/>
      <c r="C34" s="22"/>
      <c r="D34" s="84" t="s">
        <v>68</v>
      </c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32"/>
      <c r="P34" s="24" t="s">
        <v>29</v>
      </c>
      <c r="Q34" s="24"/>
      <c r="R34" s="88">
        <f>Betalingstabel!AP372</f>
        <v>83007.449366684683</v>
      </c>
      <c r="S34" s="88"/>
      <c r="T34" s="90">
        <f>Betalingstabel!AQ372</f>
        <v>91270.903327847773</v>
      </c>
      <c r="U34" s="90"/>
      <c r="V34" s="41"/>
    </row>
    <row r="35" spans="1:22" ht="15.75" customHeight="1">
      <c r="B35" s="40"/>
      <c r="C35" s="22"/>
      <c r="D35" s="84" t="s">
        <v>65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2"/>
      <c r="P35" s="22"/>
      <c r="Q35" s="22"/>
      <c r="R35" s="22"/>
      <c r="S35" s="22"/>
      <c r="V35" s="41"/>
    </row>
    <row r="36" spans="1:22">
      <c r="B36" s="40"/>
      <c r="C36" s="22"/>
      <c r="D36" s="84" t="s">
        <v>66</v>
      </c>
      <c r="E36" s="35"/>
      <c r="F36" s="84" t="str">
        <f>"Dat kan bij een annuïtaire hypotheek van €"&amp;I26&amp;" en een rentevasteperiode van 10 jaar met"</f>
        <v>Dat kan bij een annuïtaire hypotheek van €200000 en een rentevasteperiode van 10 jaar met</v>
      </c>
      <c r="G36" s="35"/>
      <c r="H36" s="35"/>
      <c r="I36" s="35"/>
      <c r="J36" s="35"/>
      <c r="K36" s="35"/>
      <c r="L36" s="35"/>
      <c r="M36" s="35"/>
      <c r="N36" s="35"/>
      <c r="O36" s="32"/>
      <c r="P36" s="22"/>
      <c r="Q36" s="22"/>
      <c r="R36" s="22"/>
      <c r="S36" s="22"/>
      <c r="U36" s="81"/>
      <c r="V36" s="41"/>
    </row>
    <row r="37" spans="1:22">
      <c r="B37" s="40"/>
      <c r="C37" s="22"/>
      <c r="D37" s="84" t="str">
        <f>"een rente van "&amp;L26&amp;"% een besparing van maar liefst "  &amp; M16 &amp; "% opleveren!"</f>
        <v>een rente van 2,68% een besparing van maar liefst 9% opleveren!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2"/>
      <c r="P37" s="22"/>
      <c r="Q37" s="22"/>
      <c r="R37" s="22"/>
      <c r="S37" s="22"/>
      <c r="U37" s="81"/>
      <c r="V37" s="41"/>
    </row>
    <row r="38" spans="1:22" ht="3.75" customHeight="1">
      <c r="B38" s="40"/>
      <c r="C38" s="22"/>
      <c r="D38" s="34"/>
      <c r="E38" s="34"/>
      <c r="F38" s="34"/>
      <c r="G38" s="34"/>
      <c r="H38" s="34"/>
      <c r="I38" s="34"/>
      <c r="J38" s="58"/>
      <c r="K38" s="34"/>
      <c r="L38" s="34"/>
      <c r="M38" s="34"/>
      <c r="N38" s="34"/>
      <c r="O38" s="32"/>
      <c r="P38" s="22"/>
      <c r="Q38" s="22"/>
      <c r="R38" s="22"/>
      <c r="V38" s="41"/>
    </row>
    <row r="39" spans="1:22">
      <c r="B39" s="40"/>
      <c r="C39" s="22"/>
      <c r="D39" s="22" t="s">
        <v>30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2"/>
      <c r="T39" s="81" t="s">
        <v>40</v>
      </c>
      <c r="V39" s="41"/>
    </row>
    <row r="40" spans="1:22" ht="3.75" customHeight="1">
      <c r="B40" s="40"/>
      <c r="C40" s="22"/>
      <c r="D40" s="22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2"/>
      <c r="V40" s="41"/>
    </row>
    <row r="41" spans="1:22">
      <c r="B41" s="40"/>
      <c r="C41" s="22"/>
      <c r="D41" s="46" t="s">
        <v>33</v>
      </c>
      <c r="E41" s="34"/>
      <c r="F41" s="34"/>
      <c r="G41" s="34"/>
      <c r="H41" s="34"/>
      <c r="I41" s="34"/>
      <c r="J41" s="58"/>
      <c r="K41" s="34"/>
      <c r="L41" s="34"/>
      <c r="M41" s="22"/>
      <c r="N41" s="22"/>
      <c r="O41" s="22"/>
      <c r="T41" s="30" t="s">
        <v>67</v>
      </c>
      <c r="V41" s="41"/>
    </row>
    <row r="42" spans="1:22" ht="5.25" customHeight="1" thickBot="1">
      <c r="A42" s="22"/>
      <c r="B42" s="42"/>
      <c r="C42" s="43"/>
      <c r="D42" s="44"/>
      <c r="E42" s="44"/>
      <c r="F42" s="44"/>
      <c r="G42" s="44"/>
      <c r="H42" s="44"/>
      <c r="I42" s="44"/>
      <c r="J42" s="44"/>
      <c r="K42" s="44"/>
      <c r="L42" s="44"/>
      <c r="M42" s="43"/>
      <c r="N42" s="43"/>
      <c r="O42" s="43"/>
      <c r="P42" s="43"/>
      <c r="Q42" s="43"/>
      <c r="R42" s="43"/>
      <c r="S42" s="43"/>
      <c r="T42" s="43"/>
      <c r="U42" s="43"/>
      <c r="V42" s="45"/>
    </row>
    <row r="43" spans="1:22" ht="15.75" thickTop="1">
      <c r="A43" s="22"/>
      <c r="B43" s="22"/>
      <c r="C43" s="22"/>
      <c r="D43" s="22"/>
      <c r="E43" s="24"/>
      <c r="F43" s="24"/>
      <c r="G43" s="24"/>
      <c r="H43" s="24"/>
      <c r="I43" s="24"/>
      <c r="J43" s="24"/>
      <c r="K43" s="24"/>
      <c r="L43" s="24"/>
      <c r="M43" s="22"/>
      <c r="N43" s="22"/>
      <c r="O43" s="22"/>
    </row>
    <row r="44" spans="1:22">
      <c r="A44" s="22"/>
      <c r="B44" s="22"/>
      <c r="C44" s="22"/>
      <c r="D44" s="33"/>
      <c r="E44" s="24"/>
      <c r="F44" s="24"/>
      <c r="G44" s="24"/>
      <c r="H44" s="24"/>
      <c r="I44" s="24"/>
      <c r="J44" s="24"/>
      <c r="K44" s="24"/>
      <c r="L44" s="24"/>
      <c r="M44" s="22"/>
      <c r="N44" s="22"/>
      <c r="O44" s="22"/>
    </row>
    <row r="45" spans="1:22" ht="15" customHeight="1">
      <c r="A45" s="22"/>
      <c r="B45" s="22"/>
      <c r="C45" s="22"/>
      <c r="D45" s="24"/>
      <c r="E45" s="24"/>
      <c r="F45" s="24"/>
      <c r="G45" s="24"/>
      <c r="H45" s="24"/>
      <c r="I45" s="24"/>
      <c r="J45" s="24"/>
      <c r="K45" s="24"/>
      <c r="L45" s="24"/>
      <c r="M45" s="22"/>
      <c r="N45" s="22"/>
      <c r="O45" s="22"/>
    </row>
    <row r="46" spans="1:22">
      <c r="A46" s="22"/>
      <c r="B46" s="22"/>
      <c r="C46" s="22"/>
      <c r="D46" s="22"/>
      <c r="E46" s="24"/>
      <c r="F46" s="24"/>
      <c r="G46" s="24"/>
      <c r="H46" s="24"/>
      <c r="I46" s="24"/>
      <c r="J46" s="24"/>
      <c r="K46" s="24"/>
      <c r="L46" s="24"/>
      <c r="M46" s="22"/>
      <c r="N46" s="22"/>
      <c r="O46" s="22"/>
    </row>
    <row r="47" spans="1:2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2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>
      <c r="A51" s="22"/>
      <c r="B51" s="22"/>
      <c r="C51" s="22"/>
    </row>
  </sheetData>
  <sheetProtection password="E532" sheet="1" objects="1" scenarios="1"/>
  <mergeCells count="34">
    <mergeCell ref="D32:M33"/>
    <mergeCell ref="M17:N17"/>
    <mergeCell ref="M18:N18"/>
    <mergeCell ref="M19:N19"/>
    <mergeCell ref="M20:N20"/>
    <mergeCell ref="B1:V1"/>
    <mergeCell ref="M15:N15"/>
    <mergeCell ref="R27:S27"/>
    <mergeCell ref="R28:S28"/>
    <mergeCell ref="T27:U27"/>
    <mergeCell ref="T28:U28"/>
    <mergeCell ref="D24:F24"/>
    <mergeCell ref="P25:Q26"/>
    <mergeCell ref="R25:S26"/>
    <mergeCell ref="T25:U26"/>
    <mergeCell ref="M14:N14"/>
    <mergeCell ref="M11:N11"/>
    <mergeCell ref="M10:N10"/>
    <mergeCell ref="M8:N8"/>
    <mergeCell ref="B3:V3"/>
    <mergeCell ref="K24:L24"/>
    <mergeCell ref="T31:U31"/>
    <mergeCell ref="T32:U32"/>
    <mergeCell ref="T33:U33"/>
    <mergeCell ref="T34:U34"/>
    <mergeCell ref="R32:S32"/>
    <mergeCell ref="R33:S33"/>
    <mergeCell ref="R34:S34"/>
    <mergeCell ref="R31:S31"/>
    <mergeCell ref="R29:S29"/>
    <mergeCell ref="P23:U24"/>
    <mergeCell ref="T29:U29"/>
    <mergeCell ref="R30:S30"/>
    <mergeCell ref="T30:U30"/>
  </mergeCells>
  <pageMargins left="0.7" right="0.7" top="0.75" bottom="0.75" header="0.3" footer="0.3"/>
  <pageSetup paperSize="9" scale="71" orientation="landscape" r:id="rId1"/>
  <ignoredErrors>
    <ignoredError sqref="I2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77"/>
  <sheetViews>
    <sheetView workbookViewId="0">
      <selection activeCell="G5" sqref="G5"/>
    </sheetView>
  </sheetViews>
  <sheetFormatPr defaultRowHeight="15"/>
  <cols>
    <col min="1" max="5" width="13.28515625" customWidth="1"/>
    <col min="6" max="6" width="15.7109375" bestFit="1" customWidth="1"/>
    <col min="7" max="7" width="13.28515625" customWidth="1"/>
    <col min="8" max="8" width="20.85546875" bestFit="1" customWidth="1"/>
    <col min="9" max="9" width="12.28515625" hidden="1" customWidth="1"/>
    <col min="10" max="10" width="13.28515625" bestFit="1" customWidth="1"/>
    <col min="11" max="11" width="34.85546875" bestFit="1" customWidth="1"/>
    <col min="12" max="12" width="14" customWidth="1"/>
    <col min="13" max="13" width="40" bestFit="1" customWidth="1"/>
    <col min="14" max="15" width="10.5703125" bestFit="1" customWidth="1"/>
    <col min="16" max="16" width="9.5703125" bestFit="1" customWidth="1"/>
    <col min="17" max="17" width="14.140625" bestFit="1" customWidth="1"/>
    <col min="18" max="20" width="8.85546875" customWidth="1"/>
    <col min="21" max="21" width="15.7109375" bestFit="1" customWidth="1"/>
    <col min="22" max="22" width="12.42578125" bestFit="1" customWidth="1"/>
    <col min="23" max="23" width="34.85546875" bestFit="1" customWidth="1"/>
    <col min="26" max="26" width="12.42578125" style="66" bestFit="1" customWidth="1"/>
    <col min="27" max="28" width="12.42578125" customWidth="1"/>
    <col min="30" max="30" width="11.42578125" bestFit="1" customWidth="1"/>
    <col min="32" max="32" width="15.28515625" bestFit="1" customWidth="1"/>
    <col min="35" max="35" width="9.85546875" bestFit="1" customWidth="1"/>
    <col min="36" max="36" width="13.140625" bestFit="1" customWidth="1"/>
    <col min="37" max="37" width="9.85546875" bestFit="1" customWidth="1"/>
    <col min="38" max="38" width="13.140625" bestFit="1" customWidth="1"/>
    <col min="39" max="39" width="9.85546875" bestFit="1" customWidth="1"/>
    <col min="40" max="40" width="13.140625" bestFit="1" customWidth="1"/>
    <col min="41" max="41" width="13.28515625" bestFit="1" customWidth="1"/>
    <col min="42" max="43" width="15.7109375" bestFit="1" customWidth="1"/>
    <col min="45" max="45" width="11.28515625" bestFit="1" customWidth="1"/>
  </cols>
  <sheetData>
    <row r="1" spans="1:48">
      <c r="A1" s="3"/>
      <c r="B1" s="4"/>
      <c r="C1" s="4"/>
      <c r="D1" s="22"/>
    </row>
    <row r="2" spans="1:48">
      <c r="A2" s="7" t="s">
        <v>11</v>
      </c>
      <c r="B2" s="8"/>
      <c r="C2" s="8"/>
      <c r="D2" s="23" t="s">
        <v>14</v>
      </c>
    </row>
    <row r="4" spans="1:48">
      <c r="A4" s="7" t="s">
        <v>5</v>
      </c>
      <c r="B4" s="8"/>
      <c r="C4" s="8"/>
      <c r="D4" s="8"/>
      <c r="E4" s="9" t="s">
        <v>6</v>
      </c>
    </row>
    <row r="5" spans="1:48">
      <c r="A5" s="3" t="s">
        <v>10</v>
      </c>
      <c r="B5" s="4"/>
      <c r="C5" s="10">
        <v>0.6</v>
      </c>
      <c r="D5" s="4"/>
      <c r="E5" s="12">
        <v>0</v>
      </c>
    </row>
    <row r="6" spans="1:48">
      <c r="A6" s="3" t="s">
        <v>9</v>
      </c>
      <c r="B6" s="4"/>
      <c r="C6" s="10">
        <v>0.6</v>
      </c>
      <c r="D6" s="4"/>
      <c r="E6" s="13">
        <v>1.5E-3</v>
      </c>
    </row>
    <row r="7" spans="1:48">
      <c r="A7" s="3" t="s">
        <v>8</v>
      </c>
      <c r="B7" s="4"/>
      <c r="C7" s="10">
        <v>0.8</v>
      </c>
      <c r="D7" s="4"/>
      <c r="E7" s="13">
        <v>3.0000000000000001E-3</v>
      </c>
      <c r="AF7" s="2"/>
      <c r="AP7" s="20"/>
    </row>
    <row r="8" spans="1:48">
      <c r="A8" s="5" t="s">
        <v>9</v>
      </c>
      <c r="B8" s="6"/>
      <c r="C8" s="11">
        <v>0.9</v>
      </c>
      <c r="D8" s="6"/>
      <c r="E8" s="14">
        <v>7.0000000000000001E-3</v>
      </c>
    </row>
    <row r="9" spans="1:48">
      <c r="A9" t="s">
        <v>50</v>
      </c>
      <c r="I9" t="s">
        <v>12</v>
      </c>
      <c r="P9" t="s">
        <v>51</v>
      </c>
      <c r="Y9" t="s">
        <v>52</v>
      </c>
      <c r="AF9" t="s">
        <v>55</v>
      </c>
      <c r="AO9" s="70" t="s">
        <v>54</v>
      </c>
      <c r="AP9" s="70" t="s">
        <v>53</v>
      </c>
    </row>
    <row r="10" spans="1:48">
      <c r="A10" s="15" t="s">
        <v>3</v>
      </c>
      <c r="B10" s="15" t="s">
        <v>0</v>
      </c>
      <c r="C10" s="15" t="s">
        <v>7</v>
      </c>
      <c r="D10" s="15" t="s">
        <v>6</v>
      </c>
      <c r="E10" s="15" t="s">
        <v>1</v>
      </c>
      <c r="F10" s="15" t="s">
        <v>34</v>
      </c>
      <c r="G10" s="15" t="s">
        <v>2</v>
      </c>
      <c r="H10" s="15" t="s">
        <v>16</v>
      </c>
      <c r="I10" s="16">
        <f>-B11</f>
        <v>-200000</v>
      </c>
      <c r="J10" s="21" t="s">
        <v>0</v>
      </c>
      <c r="K10" s="21" t="s">
        <v>13</v>
      </c>
      <c r="L10" s="21" t="s">
        <v>2</v>
      </c>
      <c r="M10" s="21" t="s">
        <v>17</v>
      </c>
      <c r="P10" s="60" t="s">
        <v>3</v>
      </c>
      <c r="Q10" s="25" t="s">
        <v>0</v>
      </c>
      <c r="R10" s="25" t="s">
        <v>7</v>
      </c>
      <c r="S10" s="25" t="s">
        <v>6</v>
      </c>
      <c r="T10" s="25" t="s">
        <v>1</v>
      </c>
      <c r="U10" s="25" t="s">
        <v>15</v>
      </c>
      <c r="V10" s="25" t="s">
        <v>2</v>
      </c>
      <c r="W10" s="21" t="s">
        <v>13</v>
      </c>
      <c r="Y10" s="60" t="s">
        <v>3</v>
      </c>
      <c r="Z10" s="65" t="s">
        <v>42</v>
      </c>
      <c r="AA10" s="65" t="s">
        <v>43</v>
      </c>
      <c r="AB10" s="65" t="s">
        <v>41</v>
      </c>
      <c r="AC10" s="65" t="s">
        <v>1</v>
      </c>
      <c r="AD10" s="25" t="s">
        <v>39</v>
      </c>
      <c r="AF10" s="25" t="s">
        <v>0</v>
      </c>
      <c r="AG10" s="61" t="s">
        <v>7</v>
      </c>
      <c r="AH10" s="61" t="s">
        <v>6</v>
      </c>
      <c r="AI10" s="61" t="s">
        <v>44</v>
      </c>
      <c r="AJ10" s="61" t="s">
        <v>47</v>
      </c>
      <c r="AK10" s="61" t="s">
        <v>45</v>
      </c>
      <c r="AL10" s="61" t="s">
        <v>48</v>
      </c>
      <c r="AM10" s="61" t="s">
        <v>46</v>
      </c>
      <c r="AN10" s="61" t="s">
        <v>49</v>
      </c>
      <c r="AO10" s="61" t="s">
        <v>2</v>
      </c>
      <c r="AP10" s="61" t="s">
        <v>15</v>
      </c>
      <c r="AQ10" s="65" t="s">
        <v>13</v>
      </c>
    </row>
    <row r="11" spans="1:48">
      <c r="A11" s="71">
        <v>0</v>
      </c>
      <c r="B11" s="72">
        <f>Dashboard!I26</f>
        <v>200000</v>
      </c>
      <c r="C11" s="73">
        <f>B11/Dashboard!$I$25</f>
        <v>0.8</v>
      </c>
      <c r="D11" s="74">
        <f>IF(C11&lt;=$C$5,0,VLOOKUP(C11,$C$6:$E$8,3))</f>
        <v>3.0000000000000001E-3</v>
      </c>
      <c r="E11" s="73">
        <f>IF($D$2="JA",Dashboard!$K$26-$D$11+D11,Dashboard!$K$26)</f>
        <v>2.6800000000000001E-2</v>
      </c>
      <c r="F11" s="72">
        <f>B11*E11/12</f>
        <v>446.66666666666669</v>
      </c>
      <c r="G11" s="72">
        <f>H11-F11</f>
        <v>362.41917591068847</v>
      </c>
      <c r="H11" s="72">
        <f>IFERROR(-PMT(E11^1/12,Dashboard!$I$30-A11,B11),0)</f>
        <v>809.08584257735515</v>
      </c>
      <c r="I11" s="75">
        <f>H11</f>
        <v>809.08584257735515</v>
      </c>
      <c r="J11" s="76">
        <f>Dashboard!I26</f>
        <v>200000</v>
      </c>
      <c r="K11" s="76">
        <f>J11*Dashboard!$K$26/12</f>
        <v>446.66666666666669</v>
      </c>
      <c r="L11" s="76">
        <f>M11-K11</f>
        <v>362.41917591068847</v>
      </c>
      <c r="M11" s="76">
        <f>IF(H11=0,0,IFERROR(-PMT(Dashboard!$K$26^1/12,Dashboard!$I$30,Dashboard!$I$26),0))</f>
        <v>809.08584257735515</v>
      </c>
      <c r="P11" s="59">
        <v>0</v>
      </c>
      <c r="Q11" s="27">
        <f>Dashboard!I27</f>
        <v>0</v>
      </c>
      <c r="R11" s="20">
        <f>Q11/Dashboard!$I$25</f>
        <v>0</v>
      </c>
      <c r="S11" s="20">
        <f>IF(R11&lt;=$C$5,0,VLOOKUP(C11,$C$6:$E$8,3))</f>
        <v>0</v>
      </c>
      <c r="T11" s="20">
        <f>IF($D$2="JA",Dashboard!$K$27-$S$11+S11,Dashboard!$K$27)</f>
        <v>2.6800000000000001E-2</v>
      </c>
      <c r="U11" s="27">
        <f>Q11*T11/12</f>
        <v>0</v>
      </c>
      <c r="V11" s="26">
        <f>IF(Q11&lt;=1,0,Dashboard!$I$27/Dashboard!$I$30)</f>
        <v>0</v>
      </c>
      <c r="W11" s="28">
        <f>Q11*Dashboard!$K$27/12</f>
        <v>0</v>
      </c>
      <c r="Y11" s="59">
        <v>0</v>
      </c>
      <c r="Z11" s="67">
        <f>Dashboard!$I$28</f>
        <v>0</v>
      </c>
      <c r="AA11" s="64">
        <f>IF(Z11&lt;=1,0,Dashboard!$I$30-Y11)</f>
        <v>0</v>
      </c>
      <c r="AB11" s="64">
        <f>IF(AA11&lt;=0,0,Z11)</f>
        <v>0</v>
      </c>
      <c r="AC11" s="1">
        <f>Dashboard!$K$28</f>
        <v>2.6800000000000001E-2</v>
      </c>
      <c r="AD11" s="28">
        <f>AB11*AC11/12</f>
        <v>0</v>
      </c>
      <c r="AF11" s="2">
        <f>SUM(B11,Q11,AB11)</f>
        <v>200000</v>
      </c>
      <c r="AG11" s="62">
        <f>(B11+Q11+Z11)/Dashboard!$I$25</f>
        <v>0.8</v>
      </c>
      <c r="AH11" s="20">
        <f>IF(AG11&lt;=$C$5,0,VLOOKUP(AG11,$C$6:$E$8,3))</f>
        <v>3.0000000000000001E-3</v>
      </c>
      <c r="AI11" s="20">
        <f>IF($D$2="JA",Dashboard!$K$26-$AH$11+AH11,Dashboard!$K$26)</f>
        <v>2.6800000000000001E-2</v>
      </c>
      <c r="AJ11" s="27">
        <f>Tabel2[[#This Row],[Schuldrest]]*AI11/12</f>
        <v>446.66666666666669</v>
      </c>
      <c r="AK11" s="20">
        <f>IF($D$2="JA",Dashboard!$K$27-$AH$11+AH11,Dashboard!$K$27)</f>
        <v>2.6800000000000001E-2</v>
      </c>
      <c r="AL11" s="27">
        <f t="shared" ref="AL11:AL74" si="0">Q11*AK11/12</f>
        <v>0</v>
      </c>
      <c r="AM11" s="20">
        <f>IF($D$2="JA",Dashboard!$K$28-$AH$11+AH11,Dashboard!$K$28)</f>
        <v>2.6800000000000001E-2</v>
      </c>
      <c r="AN11" s="27">
        <f t="shared" ref="AN11:AN74" si="1">AB11*AM11/12</f>
        <v>0</v>
      </c>
      <c r="AO11" s="63">
        <f>Tabel2[[#This Row],[Aflossing]]+V11</f>
        <v>362.41917591068847</v>
      </c>
      <c r="AP11" s="63">
        <f>AJ11+AL11+AN11</f>
        <v>446.66666666666669</v>
      </c>
      <c r="AQ11" s="2">
        <f>K11+W11+AD11</f>
        <v>446.66666666666669</v>
      </c>
      <c r="AU11" s="20"/>
      <c r="AV11" s="20"/>
    </row>
    <row r="12" spans="1:48">
      <c r="A12" s="71">
        <v>1</v>
      </c>
      <c r="B12" s="77">
        <f>B11-G11</f>
        <v>199637.58082408932</v>
      </c>
      <c r="C12" s="73">
        <f>B12/Dashboard!$I$25</f>
        <v>0.79855032329635733</v>
      </c>
      <c r="D12" s="74">
        <f t="shared" ref="D12:D75" si="2">IF(C12&lt;=$C$5,0,VLOOKUP(C12,$C$6:$E$8,3))</f>
        <v>1.5E-3</v>
      </c>
      <c r="E12" s="73">
        <f>IF($D$2="JA",Dashboard!$K$26-$D$11+D12,Dashboard!$K$26)</f>
        <v>2.5300000000000003E-2</v>
      </c>
      <c r="F12" s="72">
        <f t="shared" ref="F12:F75" si="3">B12*E12/12</f>
        <v>420.90256623745501</v>
      </c>
      <c r="G12" s="72">
        <f>H12-F12</f>
        <v>372.49916325196688</v>
      </c>
      <c r="H12" s="72">
        <f>IFERROR(-PMT(E12^1/12,Dashboard!$I$30-A12,B12),0)</f>
        <v>793.40172948942188</v>
      </c>
      <c r="I12" s="75">
        <f t="shared" ref="I12:I75" si="4">H12</f>
        <v>793.40172948942188</v>
      </c>
      <c r="J12" s="76">
        <f>MAX(J11-L11,0)</f>
        <v>199637.58082408932</v>
      </c>
      <c r="K12" s="76">
        <f>J12*Dashboard!$K$26/12</f>
        <v>445.8572638404662</v>
      </c>
      <c r="L12" s="76">
        <f t="shared" ref="L12:L75" si="5">M12-K12</f>
        <v>363.22857873688895</v>
      </c>
      <c r="M12" s="76">
        <f>IF(H12=0,0,IFERROR(-PMT(Dashboard!$K$26^1/12,Dashboard!$I$30,Dashboard!$I$26),0))</f>
        <v>809.08584257735515</v>
      </c>
      <c r="P12" s="59">
        <v>1</v>
      </c>
      <c r="Q12" s="28">
        <f t="shared" ref="Q12:Q75" si="6">MAX(Q11-V11,0)</f>
        <v>0</v>
      </c>
      <c r="R12" s="20">
        <f>Q12/Dashboard!$I$25</f>
        <v>0</v>
      </c>
      <c r="S12" s="20">
        <f>IF(R12&lt;=$C$5,0,VLOOKUP(C12,$C$6:$E$8,3))</f>
        <v>0</v>
      </c>
      <c r="T12" s="20">
        <f>IF($D$2="JA",Dashboard!$K$27-$S$11+S12,Dashboard!$K$27)</f>
        <v>2.6800000000000001E-2</v>
      </c>
      <c r="U12" s="27">
        <f t="shared" ref="U12:U75" si="7">Q12*T12/12</f>
        <v>0</v>
      </c>
      <c r="V12" s="26">
        <f>IF(Q12&lt;=1,0,Dashboard!$I$27/Dashboard!$I$30)</f>
        <v>0</v>
      </c>
      <c r="W12" s="28">
        <f>Q12*Dashboard!$K$27/12</f>
        <v>0</v>
      </c>
      <c r="Y12" s="59">
        <v>1</v>
      </c>
      <c r="Z12" s="67">
        <f>Dashboard!$I$28</f>
        <v>0</v>
      </c>
      <c r="AA12" s="64">
        <f>IF(Z12&lt;=1,0,Dashboard!$I$30-Y12)</f>
        <v>0</v>
      </c>
      <c r="AB12" s="64">
        <f t="shared" ref="AB12:AB75" si="8">IF(AA12&lt;=0,0,Z12)</f>
        <v>0</v>
      </c>
      <c r="AC12" s="1">
        <f>Dashboard!$K$28</f>
        <v>2.6800000000000001E-2</v>
      </c>
      <c r="AD12" s="28">
        <f t="shared" ref="AD12:AD75" si="9">AB12*AC12/12</f>
        <v>0</v>
      </c>
      <c r="AF12" s="2">
        <f>SUM(B12,Q12,AB12)</f>
        <v>199637.58082408932</v>
      </c>
      <c r="AG12" s="62">
        <f>(B12+Q12+Z12)/Dashboard!$I$25</f>
        <v>0.79855032329635733</v>
      </c>
      <c r="AH12" s="20">
        <f>IF(AG12&lt;=$C$5,0,VLOOKUP(AG12,$C$6:$E$8,3))</f>
        <v>1.5E-3</v>
      </c>
      <c r="AI12" s="20">
        <f>IF($D$2="JA",Dashboard!$K$26-$AH$11+AH12,Dashboard!$K$26)</f>
        <v>2.5300000000000003E-2</v>
      </c>
      <c r="AJ12" s="27">
        <f>Tabel2[[#This Row],[Schuldrest]]*AI12/12</f>
        <v>420.90256623745501</v>
      </c>
      <c r="AK12" s="20">
        <f>IF($D$2="JA",Dashboard!$K$27-$AH$11+AH12,Dashboard!$K$27)</f>
        <v>2.5300000000000003E-2</v>
      </c>
      <c r="AL12" s="27">
        <f t="shared" si="0"/>
        <v>0</v>
      </c>
      <c r="AM12" s="20">
        <f>IF($D$2="JA",Dashboard!$K$28-$AH$11+AH12,Dashboard!$K$28)</f>
        <v>2.5300000000000003E-2</v>
      </c>
      <c r="AN12" s="27">
        <f t="shared" si="1"/>
        <v>0</v>
      </c>
      <c r="AO12" s="63">
        <f>Tabel2[[#This Row],[Aflossing]]+V12</f>
        <v>372.49916325196688</v>
      </c>
      <c r="AP12" s="63">
        <f t="shared" ref="AP12:AP75" si="10">AJ12+AL12+AN12</f>
        <v>420.90256623745501</v>
      </c>
      <c r="AQ12" s="2">
        <f t="shared" ref="AQ12:AQ74" si="11">K12+W12+AD12</f>
        <v>445.8572638404662</v>
      </c>
      <c r="AU12" s="20"/>
      <c r="AV12" s="20"/>
    </row>
    <row r="13" spans="1:48">
      <c r="A13" s="71">
        <v>2</v>
      </c>
      <c r="B13" s="77">
        <f t="shared" ref="B13:B75" si="12">B12-G12</f>
        <v>199265.08166083734</v>
      </c>
      <c r="C13" s="73">
        <f>B13/Dashboard!$I$25</f>
        <v>0.79706032664334936</v>
      </c>
      <c r="D13" s="74">
        <f t="shared" si="2"/>
        <v>1.5E-3</v>
      </c>
      <c r="E13" s="73">
        <f>IF($D$2="JA",Dashboard!$K$26-$D$11+D13,Dashboard!$K$26)</f>
        <v>2.5300000000000003E-2</v>
      </c>
      <c r="F13" s="72">
        <f t="shared" si="3"/>
        <v>420.1172138349321</v>
      </c>
      <c r="G13" s="72">
        <f t="shared" ref="G13:G76" si="13">H13-F13</f>
        <v>373.28451565448978</v>
      </c>
      <c r="H13" s="72">
        <f>IFERROR(-PMT(E13^1/12,Dashboard!$I$30-A13,B13),0)</f>
        <v>793.40172948942188</v>
      </c>
      <c r="I13" s="75">
        <f t="shared" si="4"/>
        <v>793.40172948942188</v>
      </c>
      <c r="J13" s="76">
        <f t="shared" ref="J13:J76" si="14">MAX(J12-L12,0)</f>
        <v>199274.35224535243</v>
      </c>
      <c r="K13" s="76">
        <f>J13*Dashboard!$K$26/12</f>
        <v>445.04605334795377</v>
      </c>
      <c r="L13" s="76">
        <f t="shared" si="5"/>
        <v>364.03978922940138</v>
      </c>
      <c r="M13" s="76">
        <f>IF(H13=0,0,IFERROR(-PMT(Dashboard!$K$26^1/12,Dashboard!$I$30,Dashboard!$I$26),0))</f>
        <v>809.08584257735515</v>
      </c>
      <c r="P13" s="59">
        <v>2</v>
      </c>
      <c r="Q13" s="28">
        <f t="shared" si="6"/>
        <v>0</v>
      </c>
      <c r="R13" s="20">
        <f>Q13/Dashboard!$I$25</f>
        <v>0</v>
      </c>
      <c r="S13" s="20">
        <f t="shared" ref="S13:S75" si="15">IF(R13&lt;=$C$5,0,VLOOKUP(C13,$C$6:$E$8,3))</f>
        <v>0</v>
      </c>
      <c r="T13" s="20">
        <f>IF($D$2="JA",Dashboard!$K$27-$S$11+S13,Dashboard!$K$27)</f>
        <v>2.6800000000000001E-2</v>
      </c>
      <c r="U13" s="27">
        <f t="shared" si="7"/>
        <v>0</v>
      </c>
      <c r="V13" s="26">
        <f>IF(Q13&lt;=1,0,Dashboard!$I$27/Dashboard!$I$30)</f>
        <v>0</v>
      </c>
      <c r="W13" s="28">
        <f>Q13*Dashboard!$K$27/12</f>
        <v>0</v>
      </c>
      <c r="Y13" s="59">
        <v>2</v>
      </c>
      <c r="Z13" s="67">
        <f>Dashboard!$I$28</f>
        <v>0</v>
      </c>
      <c r="AA13" s="64">
        <f>IF(Z13&lt;=1,0,Dashboard!$I$30-Y13)</f>
        <v>0</v>
      </c>
      <c r="AB13" s="64">
        <f t="shared" si="8"/>
        <v>0</v>
      </c>
      <c r="AC13" s="1">
        <f>Dashboard!$K$28</f>
        <v>2.6800000000000001E-2</v>
      </c>
      <c r="AD13" s="28">
        <f t="shared" si="9"/>
        <v>0</v>
      </c>
      <c r="AF13" s="2">
        <f t="shared" ref="AF13:AF75" si="16">SUM(B13,Q13,AB13)</f>
        <v>199265.08166083734</v>
      </c>
      <c r="AG13" s="62">
        <f>(B13+Q13+Z13)/Dashboard!$I$25</f>
        <v>0.79706032664334936</v>
      </c>
      <c r="AH13" s="20">
        <f t="shared" ref="AH13:AH75" si="17">IF(AG13&lt;=$C$5,0,VLOOKUP(AG13,$C$6:$E$8,3))</f>
        <v>1.5E-3</v>
      </c>
      <c r="AI13" s="20">
        <f>IF($D$2="JA",Dashboard!$K$26-$AH$11+AH13,Dashboard!$K$26)</f>
        <v>2.5300000000000003E-2</v>
      </c>
      <c r="AJ13" s="27">
        <f>Tabel2[[#This Row],[Schuldrest]]*AI13/12</f>
        <v>420.1172138349321</v>
      </c>
      <c r="AK13" s="20">
        <f>IF($D$2="JA",Dashboard!$K$27-$AH$11+AH13,Dashboard!$K$27)</f>
        <v>2.5300000000000003E-2</v>
      </c>
      <c r="AL13" s="27">
        <f t="shared" si="0"/>
        <v>0</v>
      </c>
      <c r="AM13" s="20">
        <f>IF($D$2="JA",Dashboard!$K$28-$AH$11+AH13,Dashboard!$K$28)</f>
        <v>2.5300000000000003E-2</v>
      </c>
      <c r="AN13" s="27">
        <f t="shared" si="1"/>
        <v>0</v>
      </c>
      <c r="AO13" s="63">
        <f>Tabel2[[#This Row],[Aflossing]]+V13</f>
        <v>373.28451565448978</v>
      </c>
      <c r="AP13" s="63">
        <f t="shared" si="10"/>
        <v>420.1172138349321</v>
      </c>
      <c r="AQ13" s="2">
        <f t="shared" si="11"/>
        <v>445.04605334795377</v>
      </c>
      <c r="AU13" s="20"/>
      <c r="AV13" s="20"/>
    </row>
    <row r="14" spans="1:48">
      <c r="A14" s="71">
        <v>3</v>
      </c>
      <c r="B14" s="77">
        <f t="shared" si="12"/>
        <v>198891.79714518285</v>
      </c>
      <c r="C14" s="73">
        <f>B14/Dashboard!$I$25</f>
        <v>0.79556718858073139</v>
      </c>
      <c r="D14" s="74">
        <f t="shared" si="2"/>
        <v>1.5E-3</v>
      </c>
      <c r="E14" s="73">
        <f>IF($D$2="JA",Dashboard!$K$26-$D$11+D14,Dashboard!$K$26)</f>
        <v>2.5300000000000003E-2</v>
      </c>
      <c r="F14" s="72">
        <f>B14*E14/12</f>
        <v>419.33020564776052</v>
      </c>
      <c r="G14" s="72">
        <f t="shared" si="13"/>
        <v>374.07152384166125</v>
      </c>
      <c r="H14" s="72">
        <f>IFERROR(-PMT(E14^1/12,Dashboard!$I$30-A14,B14),0)</f>
        <v>793.40172948942177</v>
      </c>
      <c r="I14" s="75">
        <f t="shared" si="4"/>
        <v>793.40172948942177</v>
      </c>
      <c r="J14" s="76">
        <f t="shared" si="14"/>
        <v>198910.31245612304</v>
      </c>
      <c r="K14" s="76">
        <f>J14*Dashboard!$K$26/12</f>
        <v>444.23303115200815</v>
      </c>
      <c r="L14" s="76">
        <f t="shared" si="5"/>
        <v>364.852811425347</v>
      </c>
      <c r="M14" s="76">
        <f>IF(H14=0,0,IFERROR(-PMT(Dashboard!$K$26^1/12,Dashboard!$I$30,Dashboard!$I$26),0))</f>
        <v>809.08584257735515</v>
      </c>
      <c r="P14" s="59">
        <v>3</v>
      </c>
      <c r="Q14" s="28">
        <f t="shared" si="6"/>
        <v>0</v>
      </c>
      <c r="R14" s="20">
        <f>Q14/Dashboard!$I$25</f>
        <v>0</v>
      </c>
      <c r="S14" s="20">
        <f t="shared" si="15"/>
        <v>0</v>
      </c>
      <c r="T14" s="20">
        <f>IF($D$2="JA",Dashboard!$K$27-$S$11+S14,Dashboard!$K$27)</f>
        <v>2.6800000000000001E-2</v>
      </c>
      <c r="U14" s="27">
        <f>Q14*T14/12</f>
        <v>0</v>
      </c>
      <c r="V14" s="26">
        <f>IF(Q14&lt;=1,0,Dashboard!$I$27/Dashboard!$I$30)</f>
        <v>0</v>
      </c>
      <c r="W14" s="28">
        <f>Q14*Dashboard!$K$27/12</f>
        <v>0</v>
      </c>
      <c r="Y14" s="59">
        <v>3</v>
      </c>
      <c r="Z14" s="67">
        <f>Dashboard!$I$28</f>
        <v>0</v>
      </c>
      <c r="AA14" s="64">
        <f>IF(Z14&lt;=1,0,Dashboard!$I$30-Y14)</f>
        <v>0</v>
      </c>
      <c r="AB14" s="64">
        <f t="shared" si="8"/>
        <v>0</v>
      </c>
      <c r="AC14" s="1">
        <f>Dashboard!$K$28</f>
        <v>2.6800000000000001E-2</v>
      </c>
      <c r="AD14" s="28">
        <f t="shared" si="9"/>
        <v>0</v>
      </c>
      <c r="AF14" s="2">
        <f t="shared" si="16"/>
        <v>198891.79714518285</v>
      </c>
      <c r="AG14" s="62">
        <f>(B14+Q14+Z14)/Dashboard!$I$25</f>
        <v>0.79556718858073139</v>
      </c>
      <c r="AH14" s="20">
        <f t="shared" si="17"/>
        <v>1.5E-3</v>
      </c>
      <c r="AI14" s="20">
        <f>IF($D$2="JA",Dashboard!$K$26-$AH$11+AH14,Dashboard!$K$26)</f>
        <v>2.5300000000000003E-2</v>
      </c>
      <c r="AJ14" s="27">
        <f>Tabel2[[#This Row],[Schuldrest]]*AI14/12</f>
        <v>419.33020564776052</v>
      </c>
      <c r="AK14" s="20">
        <f>IF($D$2="JA",Dashboard!$K$27-$AH$11+AH14,Dashboard!$K$27)</f>
        <v>2.5300000000000003E-2</v>
      </c>
      <c r="AL14" s="27">
        <f t="shared" si="0"/>
        <v>0</v>
      </c>
      <c r="AM14" s="20">
        <f>IF($D$2="JA",Dashboard!$K$28-$AH$11+AH14,Dashboard!$K$28)</f>
        <v>2.5300000000000003E-2</v>
      </c>
      <c r="AN14" s="27">
        <f t="shared" si="1"/>
        <v>0</v>
      </c>
      <c r="AO14" s="63">
        <f>Tabel2[[#This Row],[Aflossing]]+V14</f>
        <v>374.07152384166125</v>
      </c>
      <c r="AP14" s="63">
        <f t="shared" si="10"/>
        <v>419.33020564776052</v>
      </c>
      <c r="AQ14" s="2">
        <f t="shared" si="11"/>
        <v>444.23303115200815</v>
      </c>
      <c r="AU14" s="20"/>
      <c r="AV14" s="20"/>
    </row>
    <row r="15" spans="1:48">
      <c r="A15" s="71">
        <v>4</v>
      </c>
      <c r="B15" s="77">
        <f t="shared" si="12"/>
        <v>198517.72562134117</v>
      </c>
      <c r="C15" s="73">
        <f>B15/Dashboard!$I$25</f>
        <v>0.79407090248536472</v>
      </c>
      <c r="D15" s="74">
        <f t="shared" si="2"/>
        <v>1.5E-3</v>
      </c>
      <c r="E15" s="73">
        <f>IF($D$2="JA",Dashboard!$K$26-$D$11+D15,Dashboard!$K$26)</f>
        <v>2.5300000000000003E-2</v>
      </c>
      <c r="F15" s="72">
        <f t="shared" si="3"/>
        <v>418.54153818499435</v>
      </c>
      <c r="G15" s="72">
        <f>H15-F15</f>
        <v>374.86019130442742</v>
      </c>
      <c r="H15" s="72">
        <f>IFERROR(-PMT(E15^1/12,Dashboard!$I$30-A15,B15),0)</f>
        <v>793.40172948942177</v>
      </c>
      <c r="I15" s="75">
        <f t="shared" si="4"/>
        <v>793.40172948942177</v>
      </c>
      <c r="J15" s="76">
        <f t="shared" si="14"/>
        <v>198545.45964469769</v>
      </c>
      <c r="K15" s="76">
        <f>J15*Dashboard!$K$26/12</f>
        <v>443.41819320649148</v>
      </c>
      <c r="L15" s="76">
        <f t="shared" si="5"/>
        <v>365.66764937086367</v>
      </c>
      <c r="M15" s="76">
        <f>IF(H15=0,0,IFERROR(-PMT(Dashboard!$K$26^1/12,Dashboard!$I$30,Dashboard!$I$26),0))</f>
        <v>809.08584257735515</v>
      </c>
      <c r="P15" s="59">
        <v>4</v>
      </c>
      <c r="Q15" s="28">
        <f t="shared" si="6"/>
        <v>0</v>
      </c>
      <c r="R15" s="20">
        <f>Q15/Dashboard!$I$25</f>
        <v>0</v>
      </c>
      <c r="S15" s="20">
        <f t="shared" si="15"/>
        <v>0</v>
      </c>
      <c r="T15" s="20">
        <f>IF($D$2="JA",Dashboard!$K$27-$S$11+S15,Dashboard!$K$27)</f>
        <v>2.6800000000000001E-2</v>
      </c>
      <c r="U15" s="27">
        <f t="shared" si="7"/>
        <v>0</v>
      </c>
      <c r="V15" s="26">
        <f>IF(Q15&lt;=1,0,Dashboard!$I$27/Dashboard!$I$30)</f>
        <v>0</v>
      </c>
      <c r="W15" s="28">
        <f>Q15*Dashboard!$K$27/12</f>
        <v>0</v>
      </c>
      <c r="Y15" s="59">
        <v>4</v>
      </c>
      <c r="Z15" s="67">
        <f>Dashboard!$I$28</f>
        <v>0</v>
      </c>
      <c r="AA15" s="64">
        <f>IF(Z15&lt;=1,0,Dashboard!$I$30-Y15)</f>
        <v>0</v>
      </c>
      <c r="AB15" s="64">
        <f t="shared" si="8"/>
        <v>0</v>
      </c>
      <c r="AC15" s="1">
        <f>Dashboard!$K$28</f>
        <v>2.6800000000000001E-2</v>
      </c>
      <c r="AD15" s="28">
        <f t="shared" si="9"/>
        <v>0</v>
      </c>
      <c r="AF15" s="2">
        <f t="shared" si="16"/>
        <v>198517.72562134117</v>
      </c>
      <c r="AG15" s="62">
        <f>(B15+Q15+Z15)/Dashboard!$I$25</f>
        <v>0.79407090248536472</v>
      </c>
      <c r="AH15" s="20">
        <f t="shared" si="17"/>
        <v>1.5E-3</v>
      </c>
      <c r="AI15" s="20">
        <f>IF($D$2="JA",Dashboard!$K$26-$AH$11+AH15,Dashboard!$K$26)</f>
        <v>2.5300000000000003E-2</v>
      </c>
      <c r="AJ15" s="27">
        <f>Tabel2[[#This Row],[Schuldrest]]*AI15/12</f>
        <v>418.54153818499435</v>
      </c>
      <c r="AK15" s="20">
        <f>IF($D$2="JA",Dashboard!$K$27-$AH$11+AH15,Dashboard!$K$27)</f>
        <v>2.5300000000000003E-2</v>
      </c>
      <c r="AL15" s="27">
        <f t="shared" si="0"/>
        <v>0</v>
      </c>
      <c r="AM15" s="20">
        <f>IF($D$2="JA",Dashboard!$K$28-$AH$11+AH15,Dashboard!$K$28)</f>
        <v>2.5300000000000003E-2</v>
      </c>
      <c r="AN15" s="27">
        <f t="shared" si="1"/>
        <v>0</v>
      </c>
      <c r="AO15" s="63">
        <f>Tabel2[[#This Row],[Aflossing]]+V15</f>
        <v>374.86019130442742</v>
      </c>
      <c r="AP15" s="63">
        <f t="shared" si="10"/>
        <v>418.54153818499435</v>
      </c>
      <c r="AQ15" s="2">
        <f t="shared" si="11"/>
        <v>443.41819320649148</v>
      </c>
      <c r="AU15" s="20"/>
      <c r="AV15" s="20"/>
    </row>
    <row r="16" spans="1:48">
      <c r="A16" s="71">
        <v>5</v>
      </c>
      <c r="B16" s="77">
        <f t="shared" si="12"/>
        <v>198142.86543003673</v>
      </c>
      <c r="C16" s="73">
        <f>B16/Dashboard!$I$25</f>
        <v>0.79257146172014692</v>
      </c>
      <c r="D16" s="74">
        <f t="shared" si="2"/>
        <v>1.5E-3</v>
      </c>
      <c r="E16" s="73">
        <f>IF($D$2="JA",Dashboard!$K$26-$D$11+D16,Dashboard!$K$26)</f>
        <v>2.5300000000000003E-2</v>
      </c>
      <c r="F16" s="72">
        <f t="shared" si="3"/>
        <v>417.75120794832748</v>
      </c>
      <c r="G16" s="72">
        <f t="shared" si="13"/>
        <v>375.65052154109418</v>
      </c>
      <c r="H16" s="72">
        <f>IFERROR(-PMT(E16^1/12,Dashboard!$I$30-A16,B16),0)</f>
        <v>793.40172948942165</v>
      </c>
      <c r="I16" s="75">
        <f t="shared" si="4"/>
        <v>793.40172948942165</v>
      </c>
      <c r="J16" s="76">
        <f t="shared" si="14"/>
        <v>198179.79199532684</v>
      </c>
      <c r="K16" s="76">
        <f>J16*Dashboard!$K$26/12</f>
        <v>442.60153545623001</v>
      </c>
      <c r="L16" s="76">
        <f t="shared" si="5"/>
        <v>366.48430712112514</v>
      </c>
      <c r="M16" s="76">
        <f>IF(H16=0,0,IFERROR(-PMT(Dashboard!$K$26^1/12,Dashboard!$I$30,Dashboard!$I$26),0))</f>
        <v>809.08584257735515</v>
      </c>
      <c r="P16" s="59">
        <v>5</v>
      </c>
      <c r="Q16" s="28">
        <f t="shared" si="6"/>
        <v>0</v>
      </c>
      <c r="R16" s="20">
        <f>Q16/Dashboard!$I$25</f>
        <v>0</v>
      </c>
      <c r="S16" s="20">
        <f t="shared" si="15"/>
        <v>0</v>
      </c>
      <c r="T16" s="20">
        <f>IF($D$2="JA",Dashboard!$K$27-$S$11+S16,Dashboard!$K$27)</f>
        <v>2.6800000000000001E-2</v>
      </c>
      <c r="U16" s="27">
        <f t="shared" si="7"/>
        <v>0</v>
      </c>
      <c r="V16" s="26">
        <f>IF(Q16&lt;=1,0,Dashboard!$I$27/Dashboard!$I$30)</f>
        <v>0</v>
      </c>
      <c r="W16" s="28">
        <f>Q16*Dashboard!$K$27/12</f>
        <v>0</v>
      </c>
      <c r="Y16" s="59">
        <v>5</v>
      </c>
      <c r="Z16" s="67">
        <f>Dashboard!$I$28</f>
        <v>0</v>
      </c>
      <c r="AA16" s="64">
        <f>IF(Z16&lt;=1,0,Dashboard!$I$30-Y16)</f>
        <v>0</v>
      </c>
      <c r="AB16" s="64">
        <f t="shared" si="8"/>
        <v>0</v>
      </c>
      <c r="AC16" s="1">
        <f>Dashboard!$K$28</f>
        <v>2.6800000000000001E-2</v>
      </c>
      <c r="AD16" s="28">
        <f t="shared" si="9"/>
        <v>0</v>
      </c>
      <c r="AF16" s="2">
        <f t="shared" si="16"/>
        <v>198142.86543003673</v>
      </c>
      <c r="AG16" s="62">
        <f>(B16+Q16+Z16)/Dashboard!$I$25</f>
        <v>0.79257146172014692</v>
      </c>
      <c r="AH16" s="20">
        <f t="shared" si="17"/>
        <v>1.5E-3</v>
      </c>
      <c r="AI16" s="20">
        <f>IF($D$2="JA",Dashboard!$K$26-$AH$11+AH16,Dashboard!$K$26)</f>
        <v>2.5300000000000003E-2</v>
      </c>
      <c r="AJ16" s="27">
        <f>Tabel2[[#This Row],[Schuldrest]]*AI16/12</f>
        <v>417.75120794832748</v>
      </c>
      <c r="AK16" s="20">
        <f>IF($D$2="JA",Dashboard!$K$27-$AH$11+AH16,Dashboard!$K$27)</f>
        <v>2.5300000000000003E-2</v>
      </c>
      <c r="AL16" s="27">
        <f t="shared" si="0"/>
        <v>0</v>
      </c>
      <c r="AM16" s="20">
        <f>IF($D$2="JA",Dashboard!$K$28-$AH$11+AH16,Dashboard!$K$28)</f>
        <v>2.5300000000000003E-2</v>
      </c>
      <c r="AN16" s="27">
        <f t="shared" si="1"/>
        <v>0</v>
      </c>
      <c r="AO16" s="63">
        <f>Tabel2[[#This Row],[Aflossing]]+V16</f>
        <v>375.65052154109418</v>
      </c>
      <c r="AP16" s="63">
        <f t="shared" si="10"/>
        <v>417.75120794832748</v>
      </c>
      <c r="AQ16" s="2">
        <f t="shared" si="11"/>
        <v>442.60153545623001</v>
      </c>
      <c r="AU16" s="20"/>
      <c r="AV16" s="20"/>
    </row>
    <row r="17" spans="1:48">
      <c r="A17" s="71">
        <v>6</v>
      </c>
      <c r="B17" s="77">
        <f t="shared" si="12"/>
        <v>197767.21490849563</v>
      </c>
      <c r="C17" s="73">
        <f>B17/Dashboard!$I$25</f>
        <v>0.79106885963398255</v>
      </c>
      <c r="D17" s="74">
        <f t="shared" si="2"/>
        <v>1.5E-3</v>
      </c>
      <c r="E17" s="73">
        <f>IF($D$2="JA",Dashboard!$K$26-$D$11+D17,Dashboard!$K$26)</f>
        <v>2.5300000000000003E-2</v>
      </c>
      <c r="F17" s="72">
        <f t="shared" si="3"/>
        <v>416.95921143207835</v>
      </c>
      <c r="G17" s="72">
        <f t="shared" si="13"/>
        <v>376.44251805734353</v>
      </c>
      <c r="H17" s="72">
        <f>IFERROR(-PMT(E17^1/12,Dashboard!$I$30-A17,B17),0)</f>
        <v>793.40172948942188</v>
      </c>
      <c r="I17" s="75">
        <f t="shared" si="4"/>
        <v>793.40172948942188</v>
      </c>
      <c r="J17" s="76">
        <f t="shared" si="14"/>
        <v>197813.30768820571</v>
      </c>
      <c r="K17" s="76">
        <f>J17*Dashboard!$K$26/12</f>
        <v>441.78305383699279</v>
      </c>
      <c r="L17" s="76">
        <f t="shared" si="5"/>
        <v>367.30278874036236</v>
      </c>
      <c r="M17" s="76">
        <f>IF(H17=0,0,IFERROR(-PMT(Dashboard!$K$26^1/12,Dashboard!$I$30,Dashboard!$I$26),0))</f>
        <v>809.08584257735515</v>
      </c>
      <c r="P17" s="59">
        <v>6</v>
      </c>
      <c r="Q17" s="28">
        <f t="shared" si="6"/>
        <v>0</v>
      </c>
      <c r="R17" s="20">
        <f>Q17/Dashboard!$I$25</f>
        <v>0</v>
      </c>
      <c r="S17" s="20">
        <f t="shared" si="15"/>
        <v>0</v>
      </c>
      <c r="T17" s="20">
        <f>IF($D$2="JA",Dashboard!$K$27-$S$11+S17,Dashboard!$K$27)</f>
        <v>2.6800000000000001E-2</v>
      </c>
      <c r="U17" s="27">
        <f t="shared" si="7"/>
        <v>0</v>
      </c>
      <c r="V17" s="26">
        <f>IF(Q17&lt;=1,0,Dashboard!$I$27/Dashboard!$I$30)</f>
        <v>0</v>
      </c>
      <c r="W17" s="28">
        <f>Q17*Dashboard!$K$27/12</f>
        <v>0</v>
      </c>
      <c r="Y17" s="59">
        <v>6</v>
      </c>
      <c r="Z17" s="67">
        <f>Dashboard!$I$28</f>
        <v>0</v>
      </c>
      <c r="AA17" s="64">
        <f>IF(Z17&lt;=1,0,Dashboard!$I$30-Y17)</f>
        <v>0</v>
      </c>
      <c r="AB17" s="64">
        <f t="shared" si="8"/>
        <v>0</v>
      </c>
      <c r="AC17" s="1">
        <f>Dashboard!$K$28</f>
        <v>2.6800000000000001E-2</v>
      </c>
      <c r="AD17" s="28">
        <f t="shared" si="9"/>
        <v>0</v>
      </c>
      <c r="AF17" s="2">
        <f t="shared" si="16"/>
        <v>197767.21490849563</v>
      </c>
      <c r="AG17" s="62">
        <f>(B17+Q17+Z17)/Dashboard!$I$25</f>
        <v>0.79106885963398255</v>
      </c>
      <c r="AH17" s="20">
        <f t="shared" si="17"/>
        <v>1.5E-3</v>
      </c>
      <c r="AI17" s="20">
        <f>IF($D$2="JA",Dashboard!$K$26-$AH$11+AH17,Dashboard!$K$26)</f>
        <v>2.5300000000000003E-2</v>
      </c>
      <c r="AJ17" s="27">
        <f>Tabel2[[#This Row],[Schuldrest]]*AI17/12</f>
        <v>416.95921143207835</v>
      </c>
      <c r="AK17" s="20">
        <f>IF($D$2="JA",Dashboard!$K$27-$AH$11+AH17,Dashboard!$K$27)</f>
        <v>2.5300000000000003E-2</v>
      </c>
      <c r="AL17" s="27">
        <f t="shared" si="0"/>
        <v>0</v>
      </c>
      <c r="AM17" s="20">
        <f>IF($D$2="JA",Dashboard!$K$28-$AH$11+AH17,Dashboard!$K$28)</f>
        <v>2.5300000000000003E-2</v>
      </c>
      <c r="AN17" s="27">
        <f t="shared" si="1"/>
        <v>0</v>
      </c>
      <c r="AO17" s="63">
        <f>Tabel2[[#This Row],[Aflossing]]+V17</f>
        <v>376.44251805734353</v>
      </c>
      <c r="AP17" s="63">
        <f t="shared" si="10"/>
        <v>416.95921143207835</v>
      </c>
      <c r="AQ17" s="2">
        <f t="shared" si="11"/>
        <v>441.78305383699279</v>
      </c>
      <c r="AU17" s="20"/>
      <c r="AV17" s="20"/>
    </row>
    <row r="18" spans="1:48">
      <c r="A18" s="71">
        <v>7</v>
      </c>
      <c r="B18" s="77">
        <f t="shared" si="12"/>
        <v>197390.7723904383</v>
      </c>
      <c r="C18" s="73">
        <f>B18/Dashboard!$I$25</f>
        <v>0.78956308956175325</v>
      </c>
      <c r="D18" s="74">
        <f t="shared" si="2"/>
        <v>1.5E-3</v>
      </c>
      <c r="E18" s="73">
        <f>IF($D$2="JA",Dashboard!$K$26-$D$11+D18,Dashboard!$K$26)</f>
        <v>2.5300000000000003E-2</v>
      </c>
      <c r="F18" s="72">
        <f t="shared" si="3"/>
        <v>416.16554512317413</v>
      </c>
      <c r="G18" s="72">
        <f t="shared" si="13"/>
        <v>377.23618436624764</v>
      </c>
      <c r="H18" s="72">
        <f>IFERROR(-PMT(E18^1/12,Dashboard!$I$30-A18,B18),0)</f>
        <v>793.40172948942177</v>
      </c>
      <c r="I18" s="75">
        <f t="shared" si="4"/>
        <v>793.40172948942177</v>
      </c>
      <c r="J18" s="76">
        <f t="shared" si="14"/>
        <v>197446.00489946533</v>
      </c>
      <c r="K18" s="76">
        <f>J18*Dashboard!$K$26/12</f>
        <v>440.96274427547263</v>
      </c>
      <c r="L18" s="76">
        <f t="shared" si="5"/>
        <v>368.12309830188252</v>
      </c>
      <c r="M18" s="76">
        <f>IF(H18=0,0,IFERROR(-PMT(Dashboard!$K$26^1/12,Dashboard!$I$30,Dashboard!$I$26),0))</f>
        <v>809.08584257735515</v>
      </c>
      <c r="P18" s="59">
        <v>7</v>
      </c>
      <c r="Q18" s="28">
        <f t="shared" si="6"/>
        <v>0</v>
      </c>
      <c r="R18" s="20">
        <f>Q18/Dashboard!$I$25</f>
        <v>0</v>
      </c>
      <c r="S18" s="20">
        <f t="shared" si="15"/>
        <v>0</v>
      </c>
      <c r="T18" s="20">
        <f>IF($D$2="JA",Dashboard!$K$27-$S$11+S18,Dashboard!$K$27)</f>
        <v>2.6800000000000001E-2</v>
      </c>
      <c r="U18" s="27">
        <f t="shared" si="7"/>
        <v>0</v>
      </c>
      <c r="V18" s="26">
        <f>IF(Q18&lt;=1,0,Dashboard!$I$27/Dashboard!$I$30)</f>
        <v>0</v>
      </c>
      <c r="W18" s="28">
        <f>Q18*Dashboard!$K$27/12</f>
        <v>0</v>
      </c>
      <c r="Y18" s="59">
        <v>7</v>
      </c>
      <c r="Z18" s="67">
        <f>Dashboard!$I$28</f>
        <v>0</v>
      </c>
      <c r="AA18" s="64">
        <f>IF(Z18&lt;=1,0,Dashboard!$I$30-Y18)</f>
        <v>0</v>
      </c>
      <c r="AB18" s="64">
        <f t="shared" si="8"/>
        <v>0</v>
      </c>
      <c r="AC18" s="1">
        <f>Dashboard!$K$28</f>
        <v>2.6800000000000001E-2</v>
      </c>
      <c r="AD18" s="28">
        <f t="shared" si="9"/>
        <v>0</v>
      </c>
      <c r="AF18" s="2">
        <f t="shared" si="16"/>
        <v>197390.7723904383</v>
      </c>
      <c r="AG18" s="62">
        <f>(B18+Q18+Z18)/Dashboard!$I$25</f>
        <v>0.78956308956175325</v>
      </c>
      <c r="AH18" s="20">
        <f t="shared" si="17"/>
        <v>1.5E-3</v>
      </c>
      <c r="AI18" s="20">
        <f>IF($D$2="JA",Dashboard!$K$26-$AH$11+AH18,Dashboard!$K$26)</f>
        <v>2.5300000000000003E-2</v>
      </c>
      <c r="AJ18" s="27">
        <f>Tabel2[[#This Row],[Schuldrest]]*AI18/12</f>
        <v>416.16554512317413</v>
      </c>
      <c r="AK18" s="20">
        <f>IF($D$2="JA",Dashboard!$K$27-$AH$11+AH18,Dashboard!$K$27)</f>
        <v>2.5300000000000003E-2</v>
      </c>
      <c r="AL18" s="27">
        <f t="shared" si="0"/>
        <v>0</v>
      </c>
      <c r="AM18" s="20">
        <f>IF($D$2="JA",Dashboard!$K$28-$AH$11+AH18,Dashboard!$K$28)</f>
        <v>2.5300000000000003E-2</v>
      </c>
      <c r="AN18" s="27">
        <f t="shared" si="1"/>
        <v>0</v>
      </c>
      <c r="AO18" s="63">
        <f>Tabel2[[#This Row],[Aflossing]]+V18</f>
        <v>377.23618436624764</v>
      </c>
      <c r="AP18" s="63">
        <f t="shared" si="10"/>
        <v>416.16554512317413</v>
      </c>
      <c r="AQ18" s="2">
        <f t="shared" si="11"/>
        <v>440.96274427547263</v>
      </c>
      <c r="AU18" s="20"/>
      <c r="AV18" s="20"/>
    </row>
    <row r="19" spans="1:48">
      <c r="A19" s="71">
        <v>8</v>
      </c>
      <c r="B19" s="77">
        <f t="shared" si="12"/>
        <v>197013.53620607205</v>
      </c>
      <c r="C19" s="73">
        <f>B19/Dashboard!$I$25</f>
        <v>0.78805414482428815</v>
      </c>
      <c r="D19" s="74">
        <f t="shared" si="2"/>
        <v>1.5E-3</v>
      </c>
      <c r="E19" s="73">
        <f>IF($D$2="JA",Dashboard!$K$26-$D$11+D19,Dashboard!$K$26)</f>
        <v>2.5300000000000003E-2</v>
      </c>
      <c r="F19" s="72">
        <f t="shared" si="3"/>
        <v>415.37020550113533</v>
      </c>
      <c r="G19" s="72">
        <f t="shared" si="13"/>
        <v>378.03152398828655</v>
      </c>
      <c r="H19" s="72">
        <f>IFERROR(-PMT(E19^1/12,Dashboard!$I$30-A19,B19),0)</f>
        <v>793.40172948942188</v>
      </c>
      <c r="I19" s="75">
        <f t="shared" si="4"/>
        <v>793.40172948942188</v>
      </c>
      <c r="J19" s="76">
        <f t="shared" si="14"/>
        <v>197077.88180116346</v>
      </c>
      <c r="K19" s="76">
        <f>J19*Dashboard!$K$26/12</f>
        <v>440.14060268926505</v>
      </c>
      <c r="L19" s="76">
        <f t="shared" si="5"/>
        <v>368.9452398880901</v>
      </c>
      <c r="M19" s="76">
        <f>IF(H19=0,0,IFERROR(-PMT(Dashboard!$K$26^1/12,Dashboard!$I$30,Dashboard!$I$26),0))</f>
        <v>809.08584257735515</v>
      </c>
      <c r="P19" s="59">
        <v>8</v>
      </c>
      <c r="Q19" s="28">
        <f t="shared" si="6"/>
        <v>0</v>
      </c>
      <c r="R19" s="20">
        <f>Q19/Dashboard!$I$25</f>
        <v>0</v>
      </c>
      <c r="S19" s="20">
        <f t="shared" si="15"/>
        <v>0</v>
      </c>
      <c r="T19" s="20">
        <f>IF($D$2="JA",Dashboard!$K$27-$S$11+S19,Dashboard!$K$27)</f>
        <v>2.6800000000000001E-2</v>
      </c>
      <c r="U19" s="27">
        <f t="shared" si="7"/>
        <v>0</v>
      </c>
      <c r="V19" s="26">
        <f>IF(Q19&lt;=1,0,Dashboard!$I$27/Dashboard!$I$30)</f>
        <v>0</v>
      </c>
      <c r="W19" s="28">
        <f>Q19*Dashboard!$K$27/12</f>
        <v>0</v>
      </c>
      <c r="Y19" s="59">
        <v>8</v>
      </c>
      <c r="Z19" s="67">
        <f>Dashboard!$I$28</f>
        <v>0</v>
      </c>
      <c r="AA19" s="64">
        <f>IF(Z19&lt;=1,0,Dashboard!$I$30-Y19)</f>
        <v>0</v>
      </c>
      <c r="AB19" s="64">
        <f t="shared" si="8"/>
        <v>0</v>
      </c>
      <c r="AC19" s="1">
        <f>Dashboard!$K$28</f>
        <v>2.6800000000000001E-2</v>
      </c>
      <c r="AD19" s="28">
        <f t="shared" si="9"/>
        <v>0</v>
      </c>
      <c r="AF19" s="2">
        <f t="shared" si="16"/>
        <v>197013.53620607205</v>
      </c>
      <c r="AG19" s="62">
        <f>(B19+Q19+Z19)/Dashboard!$I$25</f>
        <v>0.78805414482428815</v>
      </c>
      <c r="AH19" s="20">
        <f t="shared" si="17"/>
        <v>1.5E-3</v>
      </c>
      <c r="AI19" s="20">
        <f>IF($D$2="JA",Dashboard!$K$26-$AH$11+AH19,Dashboard!$K$26)</f>
        <v>2.5300000000000003E-2</v>
      </c>
      <c r="AJ19" s="27">
        <f>Tabel2[[#This Row],[Schuldrest]]*AI19/12</f>
        <v>415.37020550113533</v>
      </c>
      <c r="AK19" s="20">
        <f>IF($D$2="JA",Dashboard!$K$27-$AH$11+AH19,Dashboard!$K$27)</f>
        <v>2.5300000000000003E-2</v>
      </c>
      <c r="AL19" s="27">
        <f t="shared" si="0"/>
        <v>0</v>
      </c>
      <c r="AM19" s="20">
        <f>IF($D$2="JA",Dashboard!$K$28-$AH$11+AH19,Dashboard!$K$28)</f>
        <v>2.5300000000000003E-2</v>
      </c>
      <c r="AN19" s="27">
        <f t="shared" si="1"/>
        <v>0</v>
      </c>
      <c r="AO19" s="63">
        <f>Tabel2[[#This Row],[Aflossing]]+V19</f>
        <v>378.03152398828655</v>
      </c>
      <c r="AP19" s="63">
        <f t="shared" si="10"/>
        <v>415.37020550113533</v>
      </c>
      <c r="AQ19" s="2">
        <f t="shared" si="11"/>
        <v>440.14060268926505</v>
      </c>
      <c r="AU19" s="20"/>
      <c r="AV19" s="20"/>
    </row>
    <row r="20" spans="1:48">
      <c r="A20" s="71">
        <v>9</v>
      </c>
      <c r="B20" s="77">
        <f t="shared" si="12"/>
        <v>196635.50468208376</v>
      </c>
      <c r="C20" s="73">
        <f>B20/Dashboard!$I$25</f>
        <v>0.78654201872833507</v>
      </c>
      <c r="D20" s="74">
        <f t="shared" si="2"/>
        <v>1.5E-3</v>
      </c>
      <c r="E20" s="73">
        <f>IF($D$2="JA",Dashboard!$K$26-$D$11+D20,Dashboard!$K$26)</f>
        <v>2.5300000000000003E-2</v>
      </c>
      <c r="F20" s="72">
        <f t="shared" si="3"/>
        <v>414.57318903805998</v>
      </c>
      <c r="G20" s="72">
        <f t="shared" si="13"/>
        <v>378.82854045136179</v>
      </c>
      <c r="H20" s="72">
        <f>IFERROR(-PMT(E20^1/12,Dashboard!$I$30-A20,B20),0)</f>
        <v>793.40172948942177</v>
      </c>
      <c r="I20" s="75">
        <f t="shared" si="4"/>
        <v>793.40172948942177</v>
      </c>
      <c r="J20" s="76">
        <f t="shared" si="14"/>
        <v>196708.93656127536</v>
      </c>
      <c r="K20" s="76">
        <f>J20*Dashboard!$K$26/12</f>
        <v>439.31662498684835</v>
      </c>
      <c r="L20" s="76">
        <f t="shared" si="5"/>
        <v>369.7692175905068</v>
      </c>
      <c r="M20" s="76">
        <f>IF(H20=0,0,IFERROR(-PMT(Dashboard!$K$26^1/12,Dashboard!$I$30,Dashboard!$I$26),0))</f>
        <v>809.08584257735515</v>
      </c>
      <c r="P20" s="59">
        <v>9</v>
      </c>
      <c r="Q20" s="28">
        <f t="shared" si="6"/>
        <v>0</v>
      </c>
      <c r="R20" s="20">
        <f>Q20/Dashboard!$I$25</f>
        <v>0</v>
      </c>
      <c r="S20" s="20">
        <f t="shared" si="15"/>
        <v>0</v>
      </c>
      <c r="T20" s="20">
        <f>IF($D$2="JA",Dashboard!$K$27-$S$11+S20,Dashboard!$K$27)</f>
        <v>2.6800000000000001E-2</v>
      </c>
      <c r="U20" s="27">
        <f t="shared" si="7"/>
        <v>0</v>
      </c>
      <c r="V20" s="26">
        <f>IF(Q20&lt;=1,0,Dashboard!$I$27/Dashboard!$I$30)</f>
        <v>0</v>
      </c>
      <c r="W20" s="28">
        <f>Q20*Dashboard!$K$27/12</f>
        <v>0</v>
      </c>
      <c r="Y20" s="59">
        <v>9</v>
      </c>
      <c r="Z20" s="67">
        <f>Dashboard!$I$28</f>
        <v>0</v>
      </c>
      <c r="AA20" s="64">
        <f>IF(Z20&lt;=1,0,Dashboard!$I$30-Y20)</f>
        <v>0</v>
      </c>
      <c r="AB20" s="64">
        <f t="shared" si="8"/>
        <v>0</v>
      </c>
      <c r="AC20" s="1">
        <f>Dashboard!$K$28</f>
        <v>2.6800000000000001E-2</v>
      </c>
      <c r="AD20" s="28">
        <f t="shared" si="9"/>
        <v>0</v>
      </c>
      <c r="AF20" s="2">
        <f t="shared" si="16"/>
        <v>196635.50468208376</v>
      </c>
      <c r="AG20" s="62">
        <f>(B20+Q20+Z20)/Dashboard!$I$25</f>
        <v>0.78654201872833507</v>
      </c>
      <c r="AH20" s="20">
        <f t="shared" si="17"/>
        <v>1.5E-3</v>
      </c>
      <c r="AI20" s="20">
        <f>IF($D$2="JA",Dashboard!$K$26-$AH$11+AH20,Dashboard!$K$26)</f>
        <v>2.5300000000000003E-2</v>
      </c>
      <c r="AJ20" s="27">
        <f>Tabel2[[#This Row],[Schuldrest]]*AI20/12</f>
        <v>414.57318903805998</v>
      </c>
      <c r="AK20" s="20">
        <f>IF($D$2="JA",Dashboard!$K$27-$AH$11+AH20,Dashboard!$K$27)</f>
        <v>2.5300000000000003E-2</v>
      </c>
      <c r="AL20" s="27">
        <f t="shared" si="0"/>
        <v>0</v>
      </c>
      <c r="AM20" s="20">
        <f>IF($D$2="JA",Dashboard!$K$28-$AH$11+AH20,Dashboard!$K$28)</f>
        <v>2.5300000000000003E-2</v>
      </c>
      <c r="AN20" s="27">
        <f t="shared" si="1"/>
        <v>0</v>
      </c>
      <c r="AO20" s="63">
        <f>Tabel2[[#This Row],[Aflossing]]+V20</f>
        <v>378.82854045136179</v>
      </c>
      <c r="AP20" s="63">
        <f t="shared" si="10"/>
        <v>414.57318903805998</v>
      </c>
      <c r="AQ20" s="2">
        <f t="shared" si="11"/>
        <v>439.31662498684835</v>
      </c>
      <c r="AU20" s="20"/>
      <c r="AV20" s="20"/>
    </row>
    <row r="21" spans="1:48">
      <c r="A21" s="71">
        <v>10</v>
      </c>
      <c r="B21" s="77">
        <f t="shared" si="12"/>
        <v>196256.6761416324</v>
      </c>
      <c r="C21" s="73">
        <f>B21/Dashboard!$I$25</f>
        <v>0.78502670456652957</v>
      </c>
      <c r="D21" s="74">
        <f t="shared" si="2"/>
        <v>1.5E-3</v>
      </c>
      <c r="E21" s="73">
        <f>IF($D$2="JA",Dashboard!$K$26-$D$11+D21,Dashboard!$K$26)</f>
        <v>2.5300000000000003E-2</v>
      </c>
      <c r="F21" s="72">
        <f t="shared" si="3"/>
        <v>413.77449219860836</v>
      </c>
      <c r="G21" s="72">
        <f t="shared" si="13"/>
        <v>379.62723729081341</v>
      </c>
      <c r="H21" s="72">
        <f>IFERROR(-PMT(E21^1/12,Dashboard!$I$30-A21,B21),0)</f>
        <v>793.40172948942177</v>
      </c>
      <c r="I21" s="75">
        <f t="shared" si="4"/>
        <v>793.40172948942177</v>
      </c>
      <c r="J21" s="76">
        <f t="shared" si="14"/>
        <v>196339.16734368485</v>
      </c>
      <c r="K21" s="76">
        <f>J21*Dashboard!$K$26/12</f>
        <v>438.49080706756286</v>
      </c>
      <c r="L21" s="76">
        <f t="shared" si="5"/>
        <v>370.5950355097923</v>
      </c>
      <c r="M21" s="76">
        <f>IF(H21=0,0,IFERROR(-PMT(Dashboard!$K$26^1/12,Dashboard!$I$30,Dashboard!$I$26),0))</f>
        <v>809.08584257735515</v>
      </c>
      <c r="P21" s="59">
        <v>10</v>
      </c>
      <c r="Q21" s="28">
        <f t="shared" si="6"/>
        <v>0</v>
      </c>
      <c r="R21" s="20">
        <f>Q21/Dashboard!$I$25</f>
        <v>0</v>
      </c>
      <c r="S21" s="20">
        <f t="shared" si="15"/>
        <v>0</v>
      </c>
      <c r="T21" s="20">
        <f>IF($D$2="JA",Dashboard!$K$27-$S$11+S21,Dashboard!$K$27)</f>
        <v>2.6800000000000001E-2</v>
      </c>
      <c r="U21" s="27">
        <f t="shared" si="7"/>
        <v>0</v>
      </c>
      <c r="V21" s="26">
        <f>IF(Q21&lt;=1,0,Dashboard!$I$27/Dashboard!$I$30)</f>
        <v>0</v>
      </c>
      <c r="W21" s="28">
        <f>Q21*Dashboard!$K$27/12</f>
        <v>0</v>
      </c>
      <c r="Y21" s="59">
        <v>10</v>
      </c>
      <c r="Z21" s="67">
        <f>Dashboard!$I$28</f>
        <v>0</v>
      </c>
      <c r="AA21" s="64">
        <f>IF(Z21&lt;=1,0,Dashboard!$I$30-Y21)</f>
        <v>0</v>
      </c>
      <c r="AB21" s="64">
        <f t="shared" si="8"/>
        <v>0</v>
      </c>
      <c r="AC21" s="1">
        <f>Dashboard!$K$28</f>
        <v>2.6800000000000001E-2</v>
      </c>
      <c r="AD21" s="28">
        <f t="shared" si="9"/>
        <v>0</v>
      </c>
      <c r="AF21" s="2">
        <f t="shared" si="16"/>
        <v>196256.6761416324</v>
      </c>
      <c r="AG21" s="62">
        <f>(B21+Q21+Z21)/Dashboard!$I$25</f>
        <v>0.78502670456652957</v>
      </c>
      <c r="AH21" s="20">
        <f t="shared" si="17"/>
        <v>1.5E-3</v>
      </c>
      <c r="AI21" s="20">
        <f>IF($D$2="JA",Dashboard!$K$26-$AH$11+AH21,Dashboard!$K$26)</f>
        <v>2.5300000000000003E-2</v>
      </c>
      <c r="AJ21" s="27">
        <f>Tabel2[[#This Row],[Schuldrest]]*AI21/12</f>
        <v>413.77449219860836</v>
      </c>
      <c r="AK21" s="20">
        <f>IF($D$2="JA",Dashboard!$K$27-$AH$11+AH21,Dashboard!$K$27)</f>
        <v>2.5300000000000003E-2</v>
      </c>
      <c r="AL21" s="27">
        <f t="shared" si="0"/>
        <v>0</v>
      </c>
      <c r="AM21" s="20">
        <f>IF($D$2="JA",Dashboard!$K$28-$AH$11+AH21,Dashboard!$K$28)</f>
        <v>2.5300000000000003E-2</v>
      </c>
      <c r="AN21" s="27">
        <f t="shared" si="1"/>
        <v>0</v>
      </c>
      <c r="AO21" s="63">
        <f>Tabel2[[#This Row],[Aflossing]]+V21</f>
        <v>379.62723729081341</v>
      </c>
      <c r="AP21" s="63">
        <f t="shared" si="10"/>
        <v>413.77449219860836</v>
      </c>
      <c r="AQ21" s="2">
        <f t="shared" si="11"/>
        <v>438.49080706756286</v>
      </c>
      <c r="AU21" s="20"/>
      <c r="AV21" s="20"/>
    </row>
    <row r="22" spans="1:48">
      <c r="A22" s="71">
        <v>11</v>
      </c>
      <c r="B22" s="77">
        <f t="shared" si="12"/>
        <v>195877.04890434159</v>
      </c>
      <c r="C22" s="73">
        <f>B22/Dashboard!$I$25</f>
        <v>0.7835081956173664</v>
      </c>
      <c r="D22" s="74">
        <f t="shared" si="2"/>
        <v>1.5E-3</v>
      </c>
      <c r="E22" s="73">
        <f>IF($D$2="JA",Dashboard!$K$26-$D$11+D22,Dashboard!$K$26)</f>
        <v>2.5300000000000003E-2</v>
      </c>
      <c r="F22" s="72">
        <f t="shared" si="3"/>
        <v>412.97411143998693</v>
      </c>
      <c r="G22" s="72">
        <f t="shared" si="13"/>
        <v>380.42761804943484</v>
      </c>
      <c r="H22" s="72">
        <f>IFERROR(-PMT(E22^1/12,Dashboard!$I$30-A22,B22),0)</f>
        <v>793.40172948942177</v>
      </c>
      <c r="I22" s="75">
        <f t="shared" si="4"/>
        <v>793.40172948942177</v>
      </c>
      <c r="J22" s="76">
        <f t="shared" si="14"/>
        <v>195968.57230817506</v>
      </c>
      <c r="K22" s="76">
        <f>J22*Dashboard!$K$26/12</f>
        <v>437.663144821591</v>
      </c>
      <c r="L22" s="76">
        <f t="shared" si="5"/>
        <v>371.42269775576415</v>
      </c>
      <c r="M22" s="76">
        <f>IF(H22=0,0,IFERROR(-PMT(Dashboard!$K$26^1/12,Dashboard!$I$30,Dashboard!$I$26),0))</f>
        <v>809.08584257735515</v>
      </c>
      <c r="P22" s="59">
        <v>11</v>
      </c>
      <c r="Q22" s="28">
        <f t="shared" si="6"/>
        <v>0</v>
      </c>
      <c r="R22" s="20">
        <f>Q22/Dashboard!$I$25</f>
        <v>0</v>
      </c>
      <c r="S22" s="20">
        <f t="shared" si="15"/>
        <v>0</v>
      </c>
      <c r="T22" s="20">
        <f>IF($D$2="JA",Dashboard!$K$27-$S$11+S22,Dashboard!$K$27)</f>
        <v>2.6800000000000001E-2</v>
      </c>
      <c r="U22" s="27">
        <f t="shared" si="7"/>
        <v>0</v>
      </c>
      <c r="V22" s="26">
        <f>IF(Q22&lt;=1,0,Dashboard!$I$27/Dashboard!$I$30)</f>
        <v>0</v>
      </c>
      <c r="W22" s="28">
        <f>Q22*Dashboard!$K$27/12</f>
        <v>0</v>
      </c>
      <c r="Y22" s="59">
        <v>11</v>
      </c>
      <c r="Z22" s="67">
        <f>Dashboard!$I$28</f>
        <v>0</v>
      </c>
      <c r="AA22" s="64">
        <f>IF(Z22&lt;=1,0,Dashboard!$I$30-Y22)</f>
        <v>0</v>
      </c>
      <c r="AB22" s="64">
        <f t="shared" si="8"/>
        <v>0</v>
      </c>
      <c r="AC22" s="1">
        <f>Dashboard!$K$28</f>
        <v>2.6800000000000001E-2</v>
      </c>
      <c r="AD22" s="28">
        <f t="shared" si="9"/>
        <v>0</v>
      </c>
      <c r="AF22" s="2">
        <f t="shared" si="16"/>
        <v>195877.04890434159</v>
      </c>
      <c r="AG22" s="62">
        <f>(B22+Q22+Z22)/Dashboard!$I$25</f>
        <v>0.7835081956173664</v>
      </c>
      <c r="AH22" s="20">
        <f t="shared" si="17"/>
        <v>1.5E-3</v>
      </c>
      <c r="AI22" s="20">
        <f>IF($D$2="JA",Dashboard!$K$26-$AH$11+AH22,Dashboard!$K$26)</f>
        <v>2.5300000000000003E-2</v>
      </c>
      <c r="AJ22" s="27">
        <f>Tabel2[[#This Row],[Schuldrest]]*AI22/12</f>
        <v>412.97411143998693</v>
      </c>
      <c r="AK22" s="20">
        <f>IF($D$2="JA",Dashboard!$K$27-$AH$11+AH22,Dashboard!$K$27)</f>
        <v>2.5300000000000003E-2</v>
      </c>
      <c r="AL22" s="27">
        <f t="shared" si="0"/>
        <v>0</v>
      </c>
      <c r="AM22" s="20">
        <f>IF($D$2="JA",Dashboard!$K$28-$AH$11+AH22,Dashboard!$K$28)</f>
        <v>2.5300000000000003E-2</v>
      </c>
      <c r="AN22" s="27">
        <f t="shared" si="1"/>
        <v>0</v>
      </c>
      <c r="AO22" s="63">
        <f>Tabel2[[#This Row],[Aflossing]]+V22</f>
        <v>380.42761804943484</v>
      </c>
      <c r="AP22" s="63">
        <f t="shared" si="10"/>
        <v>412.97411143998693</v>
      </c>
      <c r="AQ22" s="2">
        <f t="shared" si="11"/>
        <v>437.663144821591</v>
      </c>
      <c r="AU22" s="20"/>
      <c r="AV22" s="20"/>
    </row>
    <row r="23" spans="1:48">
      <c r="A23" s="71">
        <v>12</v>
      </c>
      <c r="B23" s="77">
        <f t="shared" si="12"/>
        <v>195496.62128629215</v>
      </c>
      <c r="C23" s="73">
        <f>B23/Dashboard!$I$25</f>
        <v>0.78198648514516866</v>
      </c>
      <c r="D23" s="74">
        <f t="shared" si="2"/>
        <v>1.5E-3</v>
      </c>
      <c r="E23" s="73">
        <f>IF($D$2="JA",Dashboard!$K$26-$D$11+D23,Dashboard!$K$26)</f>
        <v>2.5300000000000003E-2</v>
      </c>
      <c r="F23" s="72">
        <f t="shared" si="3"/>
        <v>412.1720432119327</v>
      </c>
      <c r="G23" s="72">
        <f t="shared" si="13"/>
        <v>381.22968627748895</v>
      </c>
      <c r="H23" s="72">
        <f>IFERROR(-PMT(E23^1/12,Dashboard!$I$30-A23,B23),0)</f>
        <v>793.40172948942165</v>
      </c>
      <c r="I23" s="75">
        <f t="shared" si="4"/>
        <v>793.40172948942165</v>
      </c>
      <c r="J23" s="76">
        <f t="shared" si="14"/>
        <v>195597.14961041929</v>
      </c>
      <c r="K23" s="76">
        <f>J23*Dashboard!$K$26/12</f>
        <v>436.8336341299364</v>
      </c>
      <c r="L23" s="76">
        <f t="shared" si="5"/>
        <v>372.25220844741875</v>
      </c>
      <c r="M23" s="76">
        <f>IF(H23=0,0,IFERROR(-PMT(Dashboard!$K$26^1/12,Dashboard!$I$30,Dashboard!$I$26),0))</f>
        <v>809.08584257735515</v>
      </c>
      <c r="P23" s="59">
        <v>12</v>
      </c>
      <c r="Q23" s="28">
        <f t="shared" si="6"/>
        <v>0</v>
      </c>
      <c r="R23" s="20">
        <f>Q23/Dashboard!$I$25</f>
        <v>0</v>
      </c>
      <c r="S23" s="20">
        <f t="shared" si="15"/>
        <v>0</v>
      </c>
      <c r="T23" s="20">
        <f>IF($D$2="JA",Dashboard!$K$27-$S$11+S23,Dashboard!$K$27)</f>
        <v>2.6800000000000001E-2</v>
      </c>
      <c r="U23" s="27">
        <f t="shared" si="7"/>
        <v>0</v>
      </c>
      <c r="V23" s="26">
        <f>IF(Q23&lt;=1,0,Dashboard!$I$27/Dashboard!$I$30)</f>
        <v>0</v>
      </c>
      <c r="W23" s="28">
        <f>Q23*Dashboard!$K$27/12</f>
        <v>0</v>
      </c>
      <c r="Y23" s="59">
        <v>12</v>
      </c>
      <c r="Z23" s="67">
        <f>Dashboard!$I$28</f>
        <v>0</v>
      </c>
      <c r="AA23" s="64">
        <f>IF(Z23&lt;=1,0,Dashboard!$I$30-Y23)</f>
        <v>0</v>
      </c>
      <c r="AB23" s="64">
        <f t="shared" si="8"/>
        <v>0</v>
      </c>
      <c r="AC23" s="1">
        <f>Dashboard!$K$28</f>
        <v>2.6800000000000001E-2</v>
      </c>
      <c r="AD23" s="28">
        <f t="shared" si="9"/>
        <v>0</v>
      </c>
      <c r="AF23" s="2">
        <f t="shared" si="16"/>
        <v>195496.62128629215</v>
      </c>
      <c r="AG23" s="62">
        <f>(B23+Q23+Z23)/Dashboard!$I$25</f>
        <v>0.78198648514516866</v>
      </c>
      <c r="AH23" s="20">
        <f t="shared" si="17"/>
        <v>1.5E-3</v>
      </c>
      <c r="AI23" s="20">
        <f>IF($D$2="JA",Dashboard!$K$26-$AH$11+AH23,Dashboard!$K$26)</f>
        <v>2.5300000000000003E-2</v>
      </c>
      <c r="AJ23" s="27">
        <f>Tabel2[[#This Row],[Schuldrest]]*AI23/12</f>
        <v>412.1720432119327</v>
      </c>
      <c r="AK23" s="20">
        <f>IF($D$2="JA",Dashboard!$K$27-$AH$11+AH23,Dashboard!$K$27)</f>
        <v>2.5300000000000003E-2</v>
      </c>
      <c r="AL23" s="27">
        <f t="shared" si="0"/>
        <v>0</v>
      </c>
      <c r="AM23" s="20">
        <f>IF($D$2="JA",Dashboard!$K$28-$AH$11+AH23,Dashboard!$K$28)</f>
        <v>2.5300000000000003E-2</v>
      </c>
      <c r="AN23" s="27">
        <f t="shared" si="1"/>
        <v>0</v>
      </c>
      <c r="AO23" s="63">
        <f>Tabel2[[#This Row],[Aflossing]]+V23</f>
        <v>381.22968627748895</v>
      </c>
      <c r="AP23" s="63">
        <f t="shared" si="10"/>
        <v>412.1720432119327</v>
      </c>
      <c r="AQ23" s="2">
        <f t="shared" si="11"/>
        <v>436.8336341299364</v>
      </c>
      <c r="AU23" s="20"/>
      <c r="AV23" s="20"/>
    </row>
    <row r="24" spans="1:48">
      <c r="A24" s="71">
        <v>13</v>
      </c>
      <c r="B24" s="77">
        <f t="shared" si="12"/>
        <v>195115.39160001467</v>
      </c>
      <c r="C24" s="73">
        <f>B24/Dashboard!$I$25</f>
        <v>0.7804615664000587</v>
      </c>
      <c r="D24" s="74">
        <f t="shared" si="2"/>
        <v>1.5E-3</v>
      </c>
      <c r="E24" s="73">
        <f>IF($D$2="JA",Dashboard!$K$26-$D$11+D24,Dashboard!$K$26)</f>
        <v>2.5300000000000003E-2</v>
      </c>
      <c r="F24" s="72">
        <f t="shared" si="3"/>
        <v>411.36828395669767</v>
      </c>
      <c r="G24" s="72">
        <f t="shared" si="13"/>
        <v>382.0334455327241</v>
      </c>
      <c r="H24" s="72">
        <f>IFERROR(-PMT(E24^1/12,Dashboard!$I$30-A24,B24),0)</f>
        <v>793.40172948942177</v>
      </c>
      <c r="I24" s="75">
        <f t="shared" si="4"/>
        <v>793.40172948942177</v>
      </c>
      <c r="J24" s="76">
        <f t="shared" si="14"/>
        <v>195224.89740197186</v>
      </c>
      <c r="K24" s="76">
        <f>J24*Dashboard!$K$26/12</f>
        <v>436.00227086440378</v>
      </c>
      <c r="L24" s="76">
        <f t="shared" si="5"/>
        <v>373.08357171295137</v>
      </c>
      <c r="M24" s="76">
        <f>IF(H24=0,0,IFERROR(-PMT(Dashboard!$K$26^1/12,Dashboard!$I$30,Dashboard!$I$26),0))</f>
        <v>809.08584257735515</v>
      </c>
      <c r="P24" s="59">
        <v>13</v>
      </c>
      <c r="Q24" s="28">
        <f t="shared" si="6"/>
        <v>0</v>
      </c>
      <c r="R24" s="20">
        <f>Q24/Dashboard!$I$25</f>
        <v>0</v>
      </c>
      <c r="S24" s="20">
        <f t="shared" si="15"/>
        <v>0</v>
      </c>
      <c r="T24" s="20">
        <f>IF($D$2="JA",Dashboard!$K$27-$S$11+S24,Dashboard!$K$27)</f>
        <v>2.6800000000000001E-2</v>
      </c>
      <c r="U24" s="27">
        <f t="shared" si="7"/>
        <v>0</v>
      </c>
      <c r="V24" s="26">
        <f>IF(Q24&lt;=1,0,Dashboard!$I$27/Dashboard!$I$30)</f>
        <v>0</v>
      </c>
      <c r="W24" s="28">
        <f>Q24*Dashboard!$K$27/12</f>
        <v>0</v>
      </c>
      <c r="Y24" s="59">
        <v>13</v>
      </c>
      <c r="Z24" s="67">
        <f>Dashboard!$I$28</f>
        <v>0</v>
      </c>
      <c r="AA24" s="64">
        <f>IF(Z24&lt;=1,0,Dashboard!$I$30-Y24)</f>
        <v>0</v>
      </c>
      <c r="AB24" s="64">
        <f t="shared" si="8"/>
        <v>0</v>
      </c>
      <c r="AC24" s="1">
        <f>Dashboard!$K$28</f>
        <v>2.6800000000000001E-2</v>
      </c>
      <c r="AD24" s="28">
        <f t="shared" si="9"/>
        <v>0</v>
      </c>
      <c r="AF24" s="2">
        <f t="shared" si="16"/>
        <v>195115.39160001467</v>
      </c>
      <c r="AG24" s="62">
        <f>(B24+Q24+Z24)/Dashboard!$I$25</f>
        <v>0.7804615664000587</v>
      </c>
      <c r="AH24" s="20">
        <f t="shared" si="17"/>
        <v>1.5E-3</v>
      </c>
      <c r="AI24" s="20">
        <f>IF($D$2="JA",Dashboard!$K$26-$AH$11+AH24,Dashboard!$K$26)</f>
        <v>2.5300000000000003E-2</v>
      </c>
      <c r="AJ24" s="27">
        <f>Tabel2[[#This Row],[Schuldrest]]*AI24/12</f>
        <v>411.36828395669767</v>
      </c>
      <c r="AK24" s="20">
        <f>IF($D$2="JA",Dashboard!$K$27-$AH$11+AH24,Dashboard!$K$27)</f>
        <v>2.5300000000000003E-2</v>
      </c>
      <c r="AL24" s="27">
        <f t="shared" si="0"/>
        <v>0</v>
      </c>
      <c r="AM24" s="20">
        <f>IF($D$2="JA",Dashboard!$K$28-$AH$11+AH24,Dashboard!$K$28)</f>
        <v>2.5300000000000003E-2</v>
      </c>
      <c r="AN24" s="27">
        <f t="shared" si="1"/>
        <v>0</v>
      </c>
      <c r="AO24" s="63">
        <f>Tabel2[[#This Row],[Aflossing]]+V24</f>
        <v>382.0334455327241</v>
      </c>
      <c r="AP24" s="63">
        <f t="shared" si="10"/>
        <v>411.36828395669767</v>
      </c>
      <c r="AQ24" s="2">
        <f t="shared" si="11"/>
        <v>436.00227086440378</v>
      </c>
      <c r="AU24" s="20"/>
      <c r="AV24" s="20"/>
    </row>
    <row r="25" spans="1:48">
      <c r="A25" s="71">
        <v>14</v>
      </c>
      <c r="B25" s="77">
        <f t="shared" si="12"/>
        <v>194733.35815448195</v>
      </c>
      <c r="C25" s="73">
        <f>B25/Dashboard!$I$25</f>
        <v>0.7789334326179278</v>
      </c>
      <c r="D25" s="74">
        <f t="shared" si="2"/>
        <v>1.5E-3</v>
      </c>
      <c r="E25" s="73">
        <f>IF($D$2="JA",Dashboard!$K$26-$D$11+D25,Dashboard!$K$26)</f>
        <v>2.5300000000000003E-2</v>
      </c>
      <c r="F25" s="72">
        <f t="shared" si="3"/>
        <v>410.5628301090328</v>
      </c>
      <c r="G25" s="72">
        <f t="shared" si="13"/>
        <v>382.83889938038897</v>
      </c>
      <c r="H25" s="72">
        <f>IFERROR(-PMT(E25^1/12,Dashboard!$I$30-A25,B25),0)</f>
        <v>793.40172948942177</v>
      </c>
      <c r="I25" s="75">
        <f t="shared" si="4"/>
        <v>793.40172948942177</v>
      </c>
      <c r="J25" s="76">
        <f t="shared" si="14"/>
        <v>194851.81383025891</v>
      </c>
      <c r="K25" s="76">
        <f>J25*Dashboard!$K$26/12</f>
        <v>435.16905088757829</v>
      </c>
      <c r="L25" s="76">
        <f t="shared" si="5"/>
        <v>373.91679168977686</v>
      </c>
      <c r="M25" s="76">
        <f>IF(H25=0,0,IFERROR(-PMT(Dashboard!$K$26^1/12,Dashboard!$I$30,Dashboard!$I$26),0))</f>
        <v>809.08584257735515</v>
      </c>
      <c r="P25" s="59">
        <v>14</v>
      </c>
      <c r="Q25" s="28">
        <f t="shared" si="6"/>
        <v>0</v>
      </c>
      <c r="R25" s="20">
        <f>Q25/Dashboard!$I$25</f>
        <v>0</v>
      </c>
      <c r="S25" s="20">
        <f t="shared" si="15"/>
        <v>0</v>
      </c>
      <c r="T25" s="20">
        <f>IF($D$2="JA",Dashboard!$K$27-$S$11+S25,Dashboard!$K$27)</f>
        <v>2.6800000000000001E-2</v>
      </c>
      <c r="U25" s="27">
        <f t="shared" si="7"/>
        <v>0</v>
      </c>
      <c r="V25" s="26">
        <f>IF(Q25&lt;=1,0,Dashboard!$I$27/Dashboard!$I$30)</f>
        <v>0</v>
      </c>
      <c r="W25" s="28">
        <f>Q25*Dashboard!$K$27/12</f>
        <v>0</v>
      </c>
      <c r="Y25" s="59">
        <v>14</v>
      </c>
      <c r="Z25" s="67">
        <f>Dashboard!$I$28</f>
        <v>0</v>
      </c>
      <c r="AA25" s="64">
        <f>IF(Z25&lt;=1,0,Dashboard!$I$30-Y25)</f>
        <v>0</v>
      </c>
      <c r="AB25" s="64">
        <f t="shared" si="8"/>
        <v>0</v>
      </c>
      <c r="AC25" s="1">
        <f>Dashboard!$K$28</f>
        <v>2.6800000000000001E-2</v>
      </c>
      <c r="AD25" s="28">
        <f t="shared" si="9"/>
        <v>0</v>
      </c>
      <c r="AF25" s="2">
        <f t="shared" si="16"/>
        <v>194733.35815448195</v>
      </c>
      <c r="AG25" s="62">
        <f>(B25+Q25+Z25)/Dashboard!$I$25</f>
        <v>0.7789334326179278</v>
      </c>
      <c r="AH25" s="20">
        <f t="shared" si="17"/>
        <v>1.5E-3</v>
      </c>
      <c r="AI25" s="20">
        <f>IF($D$2="JA",Dashboard!$K$26-$AH$11+AH25,Dashboard!$K$26)</f>
        <v>2.5300000000000003E-2</v>
      </c>
      <c r="AJ25" s="27">
        <f>Tabel2[[#This Row],[Schuldrest]]*AI25/12</f>
        <v>410.5628301090328</v>
      </c>
      <c r="AK25" s="20">
        <f>IF($D$2="JA",Dashboard!$K$27-$AH$11+AH25,Dashboard!$K$27)</f>
        <v>2.5300000000000003E-2</v>
      </c>
      <c r="AL25" s="27">
        <f t="shared" si="0"/>
        <v>0</v>
      </c>
      <c r="AM25" s="20">
        <f>IF($D$2="JA",Dashboard!$K$28-$AH$11+AH25,Dashboard!$K$28)</f>
        <v>2.5300000000000003E-2</v>
      </c>
      <c r="AN25" s="27">
        <f t="shared" si="1"/>
        <v>0</v>
      </c>
      <c r="AO25" s="63">
        <f>Tabel2[[#This Row],[Aflossing]]+V25</f>
        <v>382.83889938038897</v>
      </c>
      <c r="AP25" s="63">
        <f t="shared" si="10"/>
        <v>410.5628301090328</v>
      </c>
      <c r="AQ25" s="2">
        <f t="shared" si="11"/>
        <v>435.16905088757829</v>
      </c>
      <c r="AU25" s="20"/>
      <c r="AV25" s="20"/>
    </row>
    <row r="26" spans="1:48">
      <c r="A26" s="71">
        <v>15</v>
      </c>
      <c r="B26" s="77">
        <f t="shared" si="12"/>
        <v>194350.51925510156</v>
      </c>
      <c r="C26" s="73">
        <f>B26/Dashboard!$I$25</f>
        <v>0.77740207702040631</v>
      </c>
      <c r="D26" s="74">
        <f t="shared" si="2"/>
        <v>1.5E-3</v>
      </c>
      <c r="E26" s="73">
        <f>IF($D$2="JA",Dashboard!$K$26-$D$11+D26,Dashboard!$K$26)</f>
        <v>2.5300000000000003E-2</v>
      </c>
      <c r="F26" s="72">
        <f t="shared" si="3"/>
        <v>409.75567809617252</v>
      </c>
      <c r="G26" s="72">
        <f t="shared" si="13"/>
        <v>383.64605139324925</v>
      </c>
      <c r="H26" s="72">
        <f>IFERROR(-PMT(E26^1/12,Dashboard!$I$30-A26,B26),0)</f>
        <v>793.40172948942177</v>
      </c>
      <c r="I26" s="75">
        <f t="shared" si="4"/>
        <v>793.40172948942177</v>
      </c>
      <c r="J26" s="76">
        <f t="shared" si="14"/>
        <v>194477.89703856912</v>
      </c>
      <c r="K26" s="76">
        <f>J26*Dashboard!$K$26/12</f>
        <v>434.33397005280443</v>
      </c>
      <c r="L26" s="76">
        <f t="shared" si="5"/>
        <v>374.75187252455072</v>
      </c>
      <c r="M26" s="76">
        <f>IF(H26=0,0,IFERROR(-PMT(Dashboard!$K$26^1/12,Dashboard!$I$30,Dashboard!$I$26),0))</f>
        <v>809.08584257735515</v>
      </c>
      <c r="P26" s="59">
        <v>15</v>
      </c>
      <c r="Q26" s="28">
        <f t="shared" si="6"/>
        <v>0</v>
      </c>
      <c r="R26" s="20">
        <f>Q26/Dashboard!$I$25</f>
        <v>0</v>
      </c>
      <c r="S26" s="20">
        <f t="shared" si="15"/>
        <v>0</v>
      </c>
      <c r="T26" s="20">
        <f>IF($D$2="JA",Dashboard!$K$27-$S$11+S26,Dashboard!$K$27)</f>
        <v>2.6800000000000001E-2</v>
      </c>
      <c r="U26" s="27">
        <f t="shared" si="7"/>
        <v>0</v>
      </c>
      <c r="V26" s="26">
        <f>IF(Q26&lt;=1,0,Dashboard!$I$27/Dashboard!$I$30)</f>
        <v>0</v>
      </c>
      <c r="W26" s="28">
        <f>Q26*Dashboard!$K$27/12</f>
        <v>0</v>
      </c>
      <c r="Y26" s="59">
        <v>15</v>
      </c>
      <c r="Z26" s="67">
        <f>Dashboard!$I$28</f>
        <v>0</v>
      </c>
      <c r="AA26" s="64">
        <f>IF(Z26&lt;=1,0,Dashboard!$I$30-Y26)</f>
        <v>0</v>
      </c>
      <c r="AB26" s="64">
        <f t="shared" si="8"/>
        <v>0</v>
      </c>
      <c r="AC26" s="1">
        <f>Dashboard!$K$28</f>
        <v>2.6800000000000001E-2</v>
      </c>
      <c r="AD26" s="28">
        <f t="shared" si="9"/>
        <v>0</v>
      </c>
      <c r="AF26" s="2">
        <f t="shared" si="16"/>
        <v>194350.51925510156</v>
      </c>
      <c r="AG26" s="62">
        <f>(B26+Q26+Z26)/Dashboard!$I$25</f>
        <v>0.77740207702040631</v>
      </c>
      <c r="AH26" s="20">
        <f t="shared" si="17"/>
        <v>1.5E-3</v>
      </c>
      <c r="AI26" s="20">
        <f>IF($D$2="JA",Dashboard!$K$26-$AH$11+AH26,Dashboard!$K$26)</f>
        <v>2.5300000000000003E-2</v>
      </c>
      <c r="AJ26" s="27">
        <f>Tabel2[[#This Row],[Schuldrest]]*AI26/12</f>
        <v>409.75567809617252</v>
      </c>
      <c r="AK26" s="20">
        <f>IF($D$2="JA",Dashboard!$K$27-$AH$11+AH26,Dashboard!$K$27)</f>
        <v>2.5300000000000003E-2</v>
      </c>
      <c r="AL26" s="27">
        <f t="shared" si="0"/>
        <v>0</v>
      </c>
      <c r="AM26" s="20">
        <f>IF($D$2="JA",Dashboard!$K$28-$AH$11+AH26,Dashboard!$K$28)</f>
        <v>2.5300000000000003E-2</v>
      </c>
      <c r="AN26" s="27">
        <f t="shared" si="1"/>
        <v>0</v>
      </c>
      <c r="AO26" s="63">
        <f>Tabel2[[#This Row],[Aflossing]]+V26</f>
        <v>383.64605139324925</v>
      </c>
      <c r="AP26" s="63">
        <f t="shared" si="10"/>
        <v>409.75567809617252</v>
      </c>
      <c r="AQ26" s="2">
        <f t="shared" si="11"/>
        <v>434.33397005280443</v>
      </c>
      <c r="AU26" s="20"/>
      <c r="AV26" s="20"/>
    </row>
    <row r="27" spans="1:48">
      <c r="A27" s="71">
        <v>16</v>
      </c>
      <c r="B27" s="77">
        <f t="shared" si="12"/>
        <v>193966.87320370832</v>
      </c>
      <c r="C27" s="73">
        <f>B27/Dashboard!$I$25</f>
        <v>0.77586749281483325</v>
      </c>
      <c r="D27" s="74">
        <f t="shared" si="2"/>
        <v>1.5E-3</v>
      </c>
      <c r="E27" s="73">
        <f>IF($D$2="JA",Dashboard!$K$26-$D$11+D27,Dashboard!$K$26)</f>
        <v>2.5300000000000003E-2</v>
      </c>
      <c r="F27" s="72">
        <f t="shared" si="3"/>
        <v>408.94682433781844</v>
      </c>
      <c r="G27" s="72">
        <f t="shared" si="13"/>
        <v>384.45490515160333</v>
      </c>
      <c r="H27" s="72">
        <f>IFERROR(-PMT(E27^1/12,Dashboard!$I$30-A27,B27),0)</f>
        <v>793.40172948942177</v>
      </c>
      <c r="I27" s="75">
        <f t="shared" si="4"/>
        <v>793.40172948942177</v>
      </c>
      <c r="J27" s="76">
        <f t="shared" si="14"/>
        <v>194103.14516604456</v>
      </c>
      <c r="K27" s="76">
        <f>J27*Dashboard!$K$26/12</f>
        <v>433.49702420416617</v>
      </c>
      <c r="L27" s="76">
        <f t="shared" si="5"/>
        <v>375.58881837318899</v>
      </c>
      <c r="M27" s="76">
        <f>IF(H27=0,0,IFERROR(-PMT(Dashboard!$K$26^1/12,Dashboard!$I$30,Dashboard!$I$26),0))</f>
        <v>809.08584257735515</v>
      </c>
      <c r="P27" s="59">
        <v>16</v>
      </c>
      <c r="Q27" s="28">
        <f t="shared" si="6"/>
        <v>0</v>
      </c>
      <c r="R27" s="20">
        <f>Q27/Dashboard!$I$25</f>
        <v>0</v>
      </c>
      <c r="S27" s="20">
        <f t="shared" si="15"/>
        <v>0</v>
      </c>
      <c r="T27" s="20">
        <f>IF($D$2="JA",Dashboard!$K$27-$S$11+S27,Dashboard!$K$27)</f>
        <v>2.6800000000000001E-2</v>
      </c>
      <c r="U27" s="27">
        <f t="shared" si="7"/>
        <v>0</v>
      </c>
      <c r="V27" s="26">
        <f>IF(Q27&lt;=1,0,Dashboard!$I$27/Dashboard!$I$30)</f>
        <v>0</v>
      </c>
      <c r="W27" s="28">
        <f>Q27*Dashboard!$K$27/12</f>
        <v>0</v>
      </c>
      <c r="Y27" s="59">
        <v>16</v>
      </c>
      <c r="Z27" s="67">
        <f>Dashboard!$I$28</f>
        <v>0</v>
      </c>
      <c r="AA27" s="64">
        <f>IF(Z27&lt;=1,0,Dashboard!$I$30-Y27)</f>
        <v>0</v>
      </c>
      <c r="AB27" s="64">
        <f t="shared" si="8"/>
        <v>0</v>
      </c>
      <c r="AC27" s="1">
        <f>Dashboard!$K$28</f>
        <v>2.6800000000000001E-2</v>
      </c>
      <c r="AD27" s="28">
        <f t="shared" si="9"/>
        <v>0</v>
      </c>
      <c r="AF27" s="2">
        <f t="shared" si="16"/>
        <v>193966.87320370832</v>
      </c>
      <c r="AG27" s="62">
        <f>(B27+Q27+Z27)/Dashboard!$I$25</f>
        <v>0.77586749281483325</v>
      </c>
      <c r="AH27" s="20">
        <f t="shared" si="17"/>
        <v>1.5E-3</v>
      </c>
      <c r="AI27" s="20">
        <f>IF($D$2="JA",Dashboard!$K$26-$AH$11+AH27,Dashboard!$K$26)</f>
        <v>2.5300000000000003E-2</v>
      </c>
      <c r="AJ27" s="27">
        <f>Tabel2[[#This Row],[Schuldrest]]*AI27/12</f>
        <v>408.94682433781844</v>
      </c>
      <c r="AK27" s="20">
        <f>IF($D$2="JA",Dashboard!$K$27-$AH$11+AH27,Dashboard!$K$27)</f>
        <v>2.5300000000000003E-2</v>
      </c>
      <c r="AL27" s="27">
        <f t="shared" si="0"/>
        <v>0</v>
      </c>
      <c r="AM27" s="20">
        <f>IF($D$2="JA",Dashboard!$K$28-$AH$11+AH27,Dashboard!$K$28)</f>
        <v>2.5300000000000003E-2</v>
      </c>
      <c r="AN27" s="27">
        <f t="shared" si="1"/>
        <v>0</v>
      </c>
      <c r="AO27" s="63">
        <f>Tabel2[[#This Row],[Aflossing]]+V27</f>
        <v>384.45490515160333</v>
      </c>
      <c r="AP27" s="63">
        <f t="shared" si="10"/>
        <v>408.94682433781844</v>
      </c>
      <c r="AQ27" s="2">
        <f t="shared" si="11"/>
        <v>433.49702420416617</v>
      </c>
      <c r="AU27" s="20"/>
      <c r="AV27" s="20"/>
    </row>
    <row r="28" spans="1:48">
      <c r="A28" s="71">
        <v>17</v>
      </c>
      <c r="B28" s="77">
        <f t="shared" si="12"/>
        <v>193582.41829855673</v>
      </c>
      <c r="C28" s="73">
        <f>B28/Dashboard!$I$25</f>
        <v>0.77432967319422696</v>
      </c>
      <c r="D28" s="74">
        <f t="shared" si="2"/>
        <v>1.5E-3</v>
      </c>
      <c r="E28" s="73">
        <f>IF($D$2="JA",Dashboard!$K$26-$D$11+D28,Dashboard!$K$26)</f>
        <v>2.5300000000000003E-2</v>
      </c>
      <c r="F28" s="72">
        <f t="shared" si="3"/>
        <v>408.13626524612386</v>
      </c>
      <c r="G28" s="72">
        <f t="shared" si="13"/>
        <v>385.26546424329803</v>
      </c>
      <c r="H28" s="72">
        <f>IFERROR(-PMT(E28^1/12,Dashboard!$I$30-A28,B28),0)</f>
        <v>793.40172948942188</v>
      </c>
      <c r="I28" s="75">
        <f t="shared" si="4"/>
        <v>793.40172948942188</v>
      </c>
      <c r="J28" s="76">
        <f t="shared" si="14"/>
        <v>193727.55634767137</v>
      </c>
      <c r="K28" s="76">
        <f>J28*Dashboard!$K$26/12</f>
        <v>432.65820917646607</v>
      </c>
      <c r="L28" s="76">
        <f t="shared" si="5"/>
        <v>376.42763340088908</v>
      </c>
      <c r="M28" s="76">
        <f>IF(H28=0,0,IFERROR(-PMT(Dashboard!$K$26^1/12,Dashboard!$I$30,Dashboard!$I$26),0))</f>
        <v>809.08584257735515</v>
      </c>
      <c r="P28" s="59">
        <v>17</v>
      </c>
      <c r="Q28" s="28">
        <f t="shared" si="6"/>
        <v>0</v>
      </c>
      <c r="R28" s="20">
        <f>Q28/Dashboard!$I$25</f>
        <v>0</v>
      </c>
      <c r="S28" s="20">
        <f t="shared" si="15"/>
        <v>0</v>
      </c>
      <c r="T28" s="20">
        <f>IF($D$2="JA",Dashboard!$K$27-$S$11+S28,Dashboard!$K$27)</f>
        <v>2.6800000000000001E-2</v>
      </c>
      <c r="U28" s="27">
        <f t="shared" si="7"/>
        <v>0</v>
      </c>
      <c r="V28" s="26">
        <f>IF(Q28&lt;=1,0,Dashboard!$I$27/Dashboard!$I$30)</f>
        <v>0</v>
      </c>
      <c r="W28" s="28">
        <f>Q28*Dashboard!$K$27/12</f>
        <v>0</v>
      </c>
      <c r="Y28" s="59">
        <v>17</v>
      </c>
      <c r="Z28" s="67">
        <f>Dashboard!$I$28</f>
        <v>0</v>
      </c>
      <c r="AA28" s="64">
        <f>IF(Z28&lt;=1,0,Dashboard!$I$30-Y28)</f>
        <v>0</v>
      </c>
      <c r="AB28" s="64">
        <f t="shared" si="8"/>
        <v>0</v>
      </c>
      <c r="AC28" s="1">
        <f>Dashboard!$K$28</f>
        <v>2.6800000000000001E-2</v>
      </c>
      <c r="AD28" s="28">
        <f t="shared" si="9"/>
        <v>0</v>
      </c>
      <c r="AF28" s="2">
        <f t="shared" si="16"/>
        <v>193582.41829855673</v>
      </c>
      <c r="AG28" s="62">
        <f>(B28+Q28+Z28)/Dashboard!$I$25</f>
        <v>0.77432967319422696</v>
      </c>
      <c r="AH28" s="20">
        <f t="shared" si="17"/>
        <v>1.5E-3</v>
      </c>
      <c r="AI28" s="20">
        <f>IF($D$2="JA",Dashboard!$K$26-$AH$11+AH28,Dashboard!$K$26)</f>
        <v>2.5300000000000003E-2</v>
      </c>
      <c r="AJ28" s="27">
        <f>Tabel2[[#This Row],[Schuldrest]]*AI28/12</f>
        <v>408.13626524612386</v>
      </c>
      <c r="AK28" s="20">
        <f>IF($D$2="JA",Dashboard!$K$27-$AH$11+AH28,Dashboard!$K$27)</f>
        <v>2.5300000000000003E-2</v>
      </c>
      <c r="AL28" s="27">
        <f t="shared" si="0"/>
        <v>0</v>
      </c>
      <c r="AM28" s="20">
        <f>IF($D$2="JA",Dashboard!$K$28-$AH$11+AH28,Dashboard!$K$28)</f>
        <v>2.5300000000000003E-2</v>
      </c>
      <c r="AN28" s="27">
        <f t="shared" si="1"/>
        <v>0</v>
      </c>
      <c r="AO28" s="63">
        <f>Tabel2[[#This Row],[Aflossing]]+V28</f>
        <v>385.26546424329803</v>
      </c>
      <c r="AP28" s="63">
        <f t="shared" si="10"/>
        <v>408.13626524612386</v>
      </c>
      <c r="AQ28" s="2">
        <f t="shared" si="11"/>
        <v>432.65820917646607</v>
      </c>
      <c r="AU28" s="20"/>
      <c r="AV28" s="20"/>
    </row>
    <row r="29" spans="1:48">
      <c r="A29" s="71">
        <v>18</v>
      </c>
      <c r="B29" s="77">
        <f t="shared" si="12"/>
        <v>193197.15283431343</v>
      </c>
      <c r="C29" s="73">
        <f>B29/Dashboard!$I$25</f>
        <v>0.77278861133725374</v>
      </c>
      <c r="D29" s="74">
        <f t="shared" si="2"/>
        <v>1.5E-3</v>
      </c>
      <c r="E29" s="73">
        <f>IF($D$2="JA",Dashboard!$K$26-$D$11+D29,Dashboard!$K$26)</f>
        <v>2.5300000000000003E-2</v>
      </c>
      <c r="F29" s="72">
        <f t="shared" si="3"/>
        <v>407.32399722567749</v>
      </c>
      <c r="G29" s="72">
        <f t="shared" si="13"/>
        <v>386.07773226374428</v>
      </c>
      <c r="H29" s="72">
        <f>IFERROR(-PMT(E29^1/12,Dashboard!$I$30-A29,B29),0)</f>
        <v>793.40172948942177</v>
      </c>
      <c r="I29" s="75">
        <f t="shared" si="4"/>
        <v>793.40172948942177</v>
      </c>
      <c r="J29" s="76">
        <f t="shared" si="14"/>
        <v>193351.12871427048</v>
      </c>
      <c r="K29" s="76">
        <f>J29*Dashboard!$K$26/12</f>
        <v>431.81752079520408</v>
      </c>
      <c r="L29" s="76">
        <f t="shared" si="5"/>
        <v>377.26832178215108</v>
      </c>
      <c r="M29" s="76">
        <f>IF(H29=0,0,IFERROR(-PMT(Dashboard!$K$26^1/12,Dashboard!$I$30,Dashboard!$I$26),0))</f>
        <v>809.08584257735515</v>
      </c>
      <c r="P29" s="59">
        <v>18</v>
      </c>
      <c r="Q29" s="28">
        <f t="shared" si="6"/>
        <v>0</v>
      </c>
      <c r="R29" s="20">
        <f>Q29/Dashboard!$I$25</f>
        <v>0</v>
      </c>
      <c r="S29" s="20">
        <f t="shared" si="15"/>
        <v>0</v>
      </c>
      <c r="T29" s="20">
        <f>IF($D$2="JA",Dashboard!$K$27-$S$11+S29,Dashboard!$K$27)</f>
        <v>2.6800000000000001E-2</v>
      </c>
      <c r="U29" s="27">
        <f t="shared" si="7"/>
        <v>0</v>
      </c>
      <c r="V29" s="26">
        <f>IF(Q29&lt;=1,0,Dashboard!$I$27/Dashboard!$I$30)</f>
        <v>0</v>
      </c>
      <c r="W29" s="28">
        <f>Q29*Dashboard!$K$27/12</f>
        <v>0</v>
      </c>
      <c r="Y29" s="59">
        <v>18</v>
      </c>
      <c r="Z29" s="67">
        <f>Dashboard!$I$28</f>
        <v>0</v>
      </c>
      <c r="AA29" s="64">
        <f>IF(Z29&lt;=1,0,Dashboard!$I$30-Y29)</f>
        <v>0</v>
      </c>
      <c r="AB29" s="64">
        <f t="shared" si="8"/>
        <v>0</v>
      </c>
      <c r="AC29" s="1">
        <f>Dashboard!$K$28</f>
        <v>2.6800000000000001E-2</v>
      </c>
      <c r="AD29" s="28">
        <f t="shared" si="9"/>
        <v>0</v>
      </c>
      <c r="AF29" s="2">
        <f t="shared" si="16"/>
        <v>193197.15283431343</v>
      </c>
      <c r="AG29" s="62">
        <f>(B29+Q29+Z29)/Dashboard!$I$25</f>
        <v>0.77278861133725374</v>
      </c>
      <c r="AH29" s="20">
        <f t="shared" si="17"/>
        <v>1.5E-3</v>
      </c>
      <c r="AI29" s="20">
        <f>IF($D$2="JA",Dashboard!$K$26-$AH$11+AH29,Dashboard!$K$26)</f>
        <v>2.5300000000000003E-2</v>
      </c>
      <c r="AJ29" s="27">
        <f>Tabel2[[#This Row],[Schuldrest]]*AI29/12</f>
        <v>407.32399722567749</v>
      </c>
      <c r="AK29" s="20">
        <f>IF($D$2="JA",Dashboard!$K$27-$AH$11+AH29,Dashboard!$K$27)</f>
        <v>2.5300000000000003E-2</v>
      </c>
      <c r="AL29" s="27">
        <f t="shared" si="0"/>
        <v>0</v>
      </c>
      <c r="AM29" s="20">
        <f>IF($D$2="JA",Dashboard!$K$28-$AH$11+AH29,Dashboard!$K$28)</f>
        <v>2.5300000000000003E-2</v>
      </c>
      <c r="AN29" s="27">
        <f t="shared" si="1"/>
        <v>0</v>
      </c>
      <c r="AO29" s="63">
        <f>Tabel2[[#This Row],[Aflossing]]+V29</f>
        <v>386.07773226374428</v>
      </c>
      <c r="AP29" s="63">
        <f t="shared" si="10"/>
        <v>407.32399722567749</v>
      </c>
      <c r="AQ29" s="2">
        <f t="shared" si="11"/>
        <v>431.81752079520408</v>
      </c>
      <c r="AU29" s="20"/>
      <c r="AV29" s="20"/>
    </row>
    <row r="30" spans="1:48">
      <c r="A30" s="71">
        <v>19</v>
      </c>
      <c r="B30" s="77">
        <f t="shared" si="12"/>
        <v>192811.07510204968</v>
      </c>
      <c r="C30" s="73">
        <f>B30/Dashboard!$I$25</f>
        <v>0.77124430040819869</v>
      </c>
      <c r="D30" s="74">
        <f t="shared" si="2"/>
        <v>1.5E-3</v>
      </c>
      <c r="E30" s="73">
        <f>IF($D$2="JA",Dashboard!$K$26-$D$11+D30,Dashboard!$K$26)</f>
        <v>2.5300000000000003E-2</v>
      </c>
      <c r="F30" s="72">
        <f t="shared" si="3"/>
        <v>406.51001667348811</v>
      </c>
      <c r="G30" s="72">
        <f t="shared" si="13"/>
        <v>386.89171281593377</v>
      </c>
      <c r="H30" s="72">
        <f>IFERROR(-PMT(E30^1/12,Dashboard!$I$30-A30,B30),0)</f>
        <v>793.40172948942188</v>
      </c>
      <c r="I30" s="75">
        <f t="shared" si="4"/>
        <v>793.40172948942188</v>
      </c>
      <c r="J30" s="76">
        <f t="shared" si="14"/>
        <v>192973.86039248834</v>
      </c>
      <c r="K30" s="76">
        <f>J30*Dashboard!$K$26/12</f>
        <v>430.97495487655732</v>
      </c>
      <c r="L30" s="76">
        <f t="shared" si="5"/>
        <v>378.11088770079783</v>
      </c>
      <c r="M30" s="76">
        <f>IF(H30=0,0,IFERROR(-PMT(Dashboard!$K$26^1/12,Dashboard!$I$30,Dashboard!$I$26),0))</f>
        <v>809.08584257735515</v>
      </c>
      <c r="P30" s="59">
        <v>19</v>
      </c>
      <c r="Q30" s="28">
        <f t="shared" si="6"/>
        <v>0</v>
      </c>
      <c r="R30" s="20">
        <f>Q30/Dashboard!$I$25</f>
        <v>0</v>
      </c>
      <c r="S30" s="20">
        <f t="shared" si="15"/>
        <v>0</v>
      </c>
      <c r="T30" s="20">
        <f>IF($D$2="JA",Dashboard!$K$27-$S$11+S30,Dashboard!$K$27)</f>
        <v>2.6800000000000001E-2</v>
      </c>
      <c r="U30" s="27">
        <f t="shared" si="7"/>
        <v>0</v>
      </c>
      <c r="V30" s="26">
        <f>IF(Q30&lt;=1,0,Dashboard!$I$27/Dashboard!$I$30)</f>
        <v>0</v>
      </c>
      <c r="W30" s="28">
        <f>Q30*Dashboard!$K$27/12</f>
        <v>0</v>
      </c>
      <c r="Y30" s="59">
        <v>19</v>
      </c>
      <c r="Z30" s="67">
        <f>Dashboard!$I$28</f>
        <v>0</v>
      </c>
      <c r="AA30" s="64">
        <f>IF(Z30&lt;=1,0,Dashboard!$I$30-Y30)</f>
        <v>0</v>
      </c>
      <c r="AB30" s="64">
        <f t="shared" si="8"/>
        <v>0</v>
      </c>
      <c r="AC30" s="1">
        <f>Dashboard!$K$28</f>
        <v>2.6800000000000001E-2</v>
      </c>
      <c r="AD30" s="28">
        <f t="shared" si="9"/>
        <v>0</v>
      </c>
      <c r="AF30" s="2">
        <f t="shared" si="16"/>
        <v>192811.07510204968</v>
      </c>
      <c r="AG30" s="62">
        <f>(B30+Q30+Z30)/Dashboard!$I$25</f>
        <v>0.77124430040819869</v>
      </c>
      <c r="AH30" s="20">
        <f t="shared" si="17"/>
        <v>1.5E-3</v>
      </c>
      <c r="AI30" s="20">
        <f>IF($D$2="JA",Dashboard!$K$26-$AH$11+AH30,Dashboard!$K$26)</f>
        <v>2.5300000000000003E-2</v>
      </c>
      <c r="AJ30" s="27">
        <f>Tabel2[[#This Row],[Schuldrest]]*AI30/12</f>
        <v>406.51001667348811</v>
      </c>
      <c r="AK30" s="20">
        <f>IF($D$2="JA",Dashboard!$K$27-$AH$11+AH30,Dashboard!$K$27)</f>
        <v>2.5300000000000003E-2</v>
      </c>
      <c r="AL30" s="27">
        <f t="shared" si="0"/>
        <v>0</v>
      </c>
      <c r="AM30" s="20">
        <f>IF($D$2="JA",Dashboard!$K$28-$AH$11+AH30,Dashboard!$K$28)</f>
        <v>2.5300000000000003E-2</v>
      </c>
      <c r="AN30" s="27">
        <f t="shared" si="1"/>
        <v>0</v>
      </c>
      <c r="AO30" s="63">
        <f>Tabel2[[#This Row],[Aflossing]]+V30</f>
        <v>386.89171281593377</v>
      </c>
      <c r="AP30" s="63">
        <f t="shared" si="10"/>
        <v>406.51001667348811</v>
      </c>
      <c r="AQ30" s="2">
        <f t="shared" si="11"/>
        <v>430.97495487655732</v>
      </c>
      <c r="AU30" s="20"/>
      <c r="AV30" s="20"/>
    </row>
    <row r="31" spans="1:48">
      <c r="A31" s="71">
        <v>20</v>
      </c>
      <c r="B31" s="77">
        <f t="shared" si="12"/>
        <v>192424.18338923375</v>
      </c>
      <c r="C31" s="73">
        <f>B31/Dashboard!$I$25</f>
        <v>0.76969673355693502</v>
      </c>
      <c r="D31" s="74">
        <f t="shared" si="2"/>
        <v>1.5E-3</v>
      </c>
      <c r="E31" s="73">
        <f>IF($D$2="JA",Dashboard!$K$26-$D$11+D31,Dashboard!$K$26)</f>
        <v>2.5300000000000003E-2</v>
      </c>
      <c r="F31" s="72">
        <f t="shared" si="3"/>
        <v>405.69431997896783</v>
      </c>
      <c r="G31" s="72">
        <f t="shared" si="13"/>
        <v>387.70740951045406</v>
      </c>
      <c r="H31" s="72">
        <f>IFERROR(-PMT(E31^1/12,Dashboard!$I$30-A31,B31),0)</f>
        <v>793.40172948942188</v>
      </c>
      <c r="I31" s="75">
        <f t="shared" si="4"/>
        <v>793.40172948942188</v>
      </c>
      <c r="J31" s="76">
        <f t="shared" si="14"/>
        <v>192595.74950478753</v>
      </c>
      <c r="K31" s="76">
        <f>J31*Dashboard!$K$26/12</f>
        <v>430.13050722735881</v>
      </c>
      <c r="L31" s="76">
        <f t="shared" si="5"/>
        <v>378.95533534999635</v>
      </c>
      <c r="M31" s="76">
        <f>IF(H31=0,0,IFERROR(-PMT(Dashboard!$K$26^1/12,Dashboard!$I$30,Dashboard!$I$26),0))</f>
        <v>809.08584257735515</v>
      </c>
      <c r="P31" s="59">
        <v>20</v>
      </c>
      <c r="Q31" s="28">
        <f t="shared" si="6"/>
        <v>0</v>
      </c>
      <c r="R31" s="20">
        <f>Q31/Dashboard!$I$25</f>
        <v>0</v>
      </c>
      <c r="S31" s="20">
        <f t="shared" si="15"/>
        <v>0</v>
      </c>
      <c r="T31" s="20">
        <f>IF($D$2="JA",Dashboard!$K$27-$S$11+S31,Dashboard!$K$27)</f>
        <v>2.6800000000000001E-2</v>
      </c>
      <c r="U31" s="27">
        <f t="shared" si="7"/>
        <v>0</v>
      </c>
      <c r="V31" s="26">
        <f>IF(Q31&lt;=1,0,Dashboard!$I$27/Dashboard!$I$30)</f>
        <v>0</v>
      </c>
      <c r="W31" s="28">
        <f>Q31*Dashboard!$K$27/12</f>
        <v>0</v>
      </c>
      <c r="Y31" s="59">
        <v>20</v>
      </c>
      <c r="Z31" s="67">
        <f>Dashboard!$I$28</f>
        <v>0</v>
      </c>
      <c r="AA31" s="64">
        <f>IF(Z31&lt;=1,0,Dashboard!$I$30-Y31)</f>
        <v>0</v>
      </c>
      <c r="AB31" s="64">
        <f t="shared" si="8"/>
        <v>0</v>
      </c>
      <c r="AC31" s="1">
        <f>Dashboard!$K$28</f>
        <v>2.6800000000000001E-2</v>
      </c>
      <c r="AD31" s="28">
        <f t="shared" si="9"/>
        <v>0</v>
      </c>
      <c r="AF31" s="2">
        <f t="shared" si="16"/>
        <v>192424.18338923375</v>
      </c>
      <c r="AG31" s="62">
        <f>(B31+Q31+Z31)/Dashboard!$I$25</f>
        <v>0.76969673355693502</v>
      </c>
      <c r="AH31" s="20">
        <f t="shared" si="17"/>
        <v>1.5E-3</v>
      </c>
      <c r="AI31" s="20">
        <f>IF($D$2="JA",Dashboard!$K$26-$AH$11+AH31,Dashboard!$K$26)</f>
        <v>2.5300000000000003E-2</v>
      </c>
      <c r="AJ31" s="27">
        <f>Tabel2[[#This Row],[Schuldrest]]*AI31/12</f>
        <v>405.69431997896783</v>
      </c>
      <c r="AK31" s="20">
        <f>IF($D$2="JA",Dashboard!$K$27-$AH$11+AH31,Dashboard!$K$27)</f>
        <v>2.5300000000000003E-2</v>
      </c>
      <c r="AL31" s="27">
        <f t="shared" si="0"/>
        <v>0</v>
      </c>
      <c r="AM31" s="20">
        <f>IF($D$2="JA",Dashboard!$K$28-$AH$11+AH31,Dashboard!$K$28)</f>
        <v>2.5300000000000003E-2</v>
      </c>
      <c r="AN31" s="27">
        <f t="shared" si="1"/>
        <v>0</v>
      </c>
      <c r="AO31" s="63">
        <f>Tabel2[[#This Row],[Aflossing]]+V31</f>
        <v>387.70740951045406</v>
      </c>
      <c r="AP31" s="63">
        <f t="shared" si="10"/>
        <v>405.69431997896783</v>
      </c>
      <c r="AQ31" s="2">
        <f t="shared" si="11"/>
        <v>430.13050722735881</v>
      </c>
      <c r="AU31" s="20"/>
      <c r="AV31" s="20"/>
    </row>
    <row r="32" spans="1:48">
      <c r="A32" s="71">
        <v>21</v>
      </c>
      <c r="B32" s="77">
        <f t="shared" si="12"/>
        <v>192036.4759797233</v>
      </c>
      <c r="C32" s="73">
        <f>B32/Dashboard!$I$25</f>
        <v>0.76814590391889315</v>
      </c>
      <c r="D32" s="74">
        <f t="shared" si="2"/>
        <v>1.5E-3</v>
      </c>
      <c r="E32" s="73">
        <f>IF($D$2="JA",Dashboard!$K$26-$D$11+D32,Dashboard!$K$26)</f>
        <v>2.5300000000000003E-2</v>
      </c>
      <c r="F32" s="72">
        <f t="shared" si="3"/>
        <v>404.87690352391672</v>
      </c>
      <c r="G32" s="72">
        <f t="shared" si="13"/>
        <v>388.52482596550504</v>
      </c>
      <c r="H32" s="72">
        <f>IFERROR(-PMT(E32^1/12,Dashboard!$I$30-A32,B32),0)</f>
        <v>793.40172948942177</v>
      </c>
      <c r="I32" s="75">
        <f t="shared" si="4"/>
        <v>793.40172948942177</v>
      </c>
      <c r="J32" s="76">
        <f t="shared" si="14"/>
        <v>192216.79416943752</v>
      </c>
      <c r="K32" s="76">
        <f>J32*Dashboard!$K$26/12</f>
        <v>429.28417364507715</v>
      </c>
      <c r="L32" s="76">
        <f t="shared" si="5"/>
        <v>379.80166893227801</v>
      </c>
      <c r="M32" s="76">
        <f>IF(H32=0,0,IFERROR(-PMT(Dashboard!$K$26^1/12,Dashboard!$I$30,Dashboard!$I$26),0))</f>
        <v>809.08584257735515</v>
      </c>
      <c r="P32" s="59">
        <v>21</v>
      </c>
      <c r="Q32" s="28">
        <f t="shared" si="6"/>
        <v>0</v>
      </c>
      <c r="R32" s="20">
        <f>Q32/Dashboard!$I$25</f>
        <v>0</v>
      </c>
      <c r="S32" s="20">
        <f t="shared" si="15"/>
        <v>0</v>
      </c>
      <c r="T32" s="20">
        <f>IF($D$2="JA",Dashboard!$K$27-$S$11+S32,Dashboard!$K$27)</f>
        <v>2.6800000000000001E-2</v>
      </c>
      <c r="U32" s="27">
        <f t="shared" si="7"/>
        <v>0</v>
      </c>
      <c r="V32" s="26">
        <f>IF(Q32&lt;=1,0,Dashboard!$I$27/Dashboard!$I$30)</f>
        <v>0</v>
      </c>
      <c r="W32" s="28">
        <f>Q32*Dashboard!$K$27/12</f>
        <v>0</v>
      </c>
      <c r="Y32" s="59">
        <v>21</v>
      </c>
      <c r="Z32" s="67">
        <f>Dashboard!$I$28</f>
        <v>0</v>
      </c>
      <c r="AA32" s="64">
        <f>IF(Z32&lt;=1,0,Dashboard!$I$30-Y32)</f>
        <v>0</v>
      </c>
      <c r="AB32" s="64">
        <f t="shared" si="8"/>
        <v>0</v>
      </c>
      <c r="AC32" s="1">
        <f>Dashboard!$K$28</f>
        <v>2.6800000000000001E-2</v>
      </c>
      <c r="AD32" s="28">
        <f t="shared" si="9"/>
        <v>0</v>
      </c>
      <c r="AF32" s="2">
        <f t="shared" si="16"/>
        <v>192036.4759797233</v>
      </c>
      <c r="AG32" s="62">
        <f>(B32+Q32+Z32)/Dashboard!$I$25</f>
        <v>0.76814590391889315</v>
      </c>
      <c r="AH32" s="20">
        <f t="shared" si="17"/>
        <v>1.5E-3</v>
      </c>
      <c r="AI32" s="20">
        <f>IF($D$2="JA",Dashboard!$K$26-$AH$11+AH32,Dashboard!$K$26)</f>
        <v>2.5300000000000003E-2</v>
      </c>
      <c r="AJ32" s="27">
        <f>Tabel2[[#This Row],[Schuldrest]]*AI32/12</f>
        <v>404.87690352391672</v>
      </c>
      <c r="AK32" s="20">
        <f>IF($D$2="JA",Dashboard!$K$27-$AH$11+AH32,Dashboard!$K$27)</f>
        <v>2.5300000000000003E-2</v>
      </c>
      <c r="AL32" s="27">
        <f t="shared" si="0"/>
        <v>0</v>
      </c>
      <c r="AM32" s="20">
        <f>IF($D$2="JA",Dashboard!$K$28-$AH$11+AH32,Dashboard!$K$28)</f>
        <v>2.5300000000000003E-2</v>
      </c>
      <c r="AN32" s="27">
        <f t="shared" si="1"/>
        <v>0</v>
      </c>
      <c r="AO32" s="63">
        <f>Tabel2[[#This Row],[Aflossing]]+V32</f>
        <v>388.52482596550504</v>
      </c>
      <c r="AP32" s="63">
        <f t="shared" si="10"/>
        <v>404.87690352391672</v>
      </c>
      <c r="AQ32" s="2">
        <f t="shared" si="11"/>
        <v>429.28417364507715</v>
      </c>
      <c r="AU32" s="20"/>
      <c r="AV32" s="20"/>
    </row>
    <row r="33" spans="1:48">
      <c r="A33" s="71">
        <v>22</v>
      </c>
      <c r="B33" s="77">
        <f t="shared" si="12"/>
        <v>191647.95115375781</v>
      </c>
      <c r="C33" s="73">
        <f>B33/Dashboard!$I$25</f>
        <v>0.76659180461503118</v>
      </c>
      <c r="D33" s="74">
        <f t="shared" si="2"/>
        <v>1.5E-3</v>
      </c>
      <c r="E33" s="73">
        <f>IF($D$2="JA",Dashboard!$K$26-$D$11+D33,Dashboard!$K$26)</f>
        <v>2.5300000000000003E-2</v>
      </c>
      <c r="F33" s="72">
        <f t="shared" si="3"/>
        <v>404.05776368250605</v>
      </c>
      <c r="G33" s="72">
        <f t="shared" si="13"/>
        <v>389.34396580691583</v>
      </c>
      <c r="H33" s="72">
        <f>IFERROR(-PMT(E33^1/12,Dashboard!$I$30-A33,B33),0)</f>
        <v>793.40172948942188</v>
      </c>
      <c r="I33" s="75">
        <f t="shared" si="4"/>
        <v>793.40172948942188</v>
      </c>
      <c r="J33" s="76">
        <f t="shared" si="14"/>
        <v>191836.99250050524</v>
      </c>
      <c r="K33" s="76">
        <f>J33*Dashboard!$K$26/12</f>
        <v>428.43594991779509</v>
      </c>
      <c r="L33" s="76">
        <f t="shared" si="5"/>
        <v>380.64989265956007</v>
      </c>
      <c r="M33" s="76">
        <f>IF(H33=0,0,IFERROR(-PMT(Dashboard!$K$26^1/12,Dashboard!$I$30,Dashboard!$I$26),0))</f>
        <v>809.08584257735515</v>
      </c>
      <c r="P33" s="59">
        <v>22</v>
      </c>
      <c r="Q33" s="28">
        <f t="shared" si="6"/>
        <v>0</v>
      </c>
      <c r="R33" s="20">
        <f>Q33/Dashboard!$I$25</f>
        <v>0</v>
      </c>
      <c r="S33" s="20">
        <f t="shared" si="15"/>
        <v>0</v>
      </c>
      <c r="T33" s="20">
        <f>IF($D$2="JA",Dashboard!$K$27-$S$11+S33,Dashboard!$K$27)</f>
        <v>2.6800000000000001E-2</v>
      </c>
      <c r="U33" s="27">
        <f t="shared" si="7"/>
        <v>0</v>
      </c>
      <c r="V33" s="26">
        <f>IF(Q33&lt;=1,0,Dashboard!$I$27/Dashboard!$I$30)</f>
        <v>0</v>
      </c>
      <c r="W33" s="28">
        <f>Q33*Dashboard!$K$27/12</f>
        <v>0</v>
      </c>
      <c r="Y33" s="59">
        <v>22</v>
      </c>
      <c r="Z33" s="67">
        <f>Dashboard!$I$28</f>
        <v>0</v>
      </c>
      <c r="AA33" s="64">
        <f>IF(Z33&lt;=1,0,Dashboard!$I$30-Y33)</f>
        <v>0</v>
      </c>
      <c r="AB33" s="64">
        <f t="shared" si="8"/>
        <v>0</v>
      </c>
      <c r="AC33" s="1">
        <f>Dashboard!$K$28</f>
        <v>2.6800000000000001E-2</v>
      </c>
      <c r="AD33" s="28">
        <f t="shared" si="9"/>
        <v>0</v>
      </c>
      <c r="AF33" s="2">
        <f t="shared" si="16"/>
        <v>191647.95115375781</v>
      </c>
      <c r="AG33" s="62">
        <f>(B33+Q33+Z33)/Dashboard!$I$25</f>
        <v>0.76659180461503118</v>
      </c>
      <c r="AH33" s="20">
        <f t="shared" si="17"/>
        <v>1.5E-3</v>
      </c>
      <c r="AI33" s="20">
        <f>IF($D$2="JA",Dashboard!$K$26-$AH$11+AH33,Dashboard!$K$26)</f>
        <v>2.5300000000000003E-2</v>
      </c>
      <c r="AJ33" s="27">
        <f>Tabel2[[#This Row],[Schuldrest]]*AI33/12</f>
        <v>404.05776368250605</v>
      </c>
      <c r="AK33" s="20">
        <f>IF($D$2="JA",Dashboard!$K$27-$AH$11+AH33,Dashboard!$K$27)</f>
        <v>2.5300000000000003E-2</v>
      </c>
      <c r="AL33" s="27">
        <f t="shared" si="0"/>
        <v>0</v>
      </c>
      <c r="AM33" s="20">
        <f>IF($D$2="JA",Dashboard!$K$28-$AH$11+AH33,Dashboard!$K$28)</f>
        <v>2.5300000000000003E-2</v>
      </c>
      <c r="AN33" s="27">
        <f t="shared" si="1"/>
        <v>0</v>
      </c>
      <c r="AO33" s="63">
        <f>Tabel2[[#This Row],[Aflossing]]+V33</f>
        <v>389.34396580691583</v>
      </c>
      <c r="AP33" s="63">
        <f t="shared" si="10"/>
        <v>404.05776368250605</v>
      </c>
      <c r="AQ33" s="2">
        <f t="shared" si="11"/>
        <v>428.43594991779509</v>
      </c>
      <c r="AU33" s="20"/>
      <c r="AV33" s="20"/>
    </row>
    <row r="34" spans="1:48">
      <c r="A34" s="71">
        <v>23</v>
      </c>
      <c r="B34" s="77">
        <f t="shared" si="12"/>
        <v>191258.6071879509</v>
      </c>
      <c r="C34" s="73">
        <f>B34/Dashboard!$I$25</f>
        <v>0.76503442875180361</v>
      </c>
      <c r="D34" s="74">
        <f t="shared" si="2"/>
        <v>1.5E-3</v>
      </c>
      <c r="E34" s="73">
        <f>IF($D$2="JA",Dashboard!$K$26-$D$11+D34,Dashboard!$K$26)</f>
        <v>2.5300000000000003E-2</v>
      </c>
      <c r="F34" s="72">
        <f t="shared" si="3"/>
        <v>403.2368968212632</v>
      </c>
      <c r="G34" s="72">
        <f t="shared" si="13"/>
        <v>390.16483266815879</v>
      </c>
      <c r="H34" s="72">
        <f>IFERROR(-PMT(E34^1/12,Dashboard!$I$30-A34,B34),0)</f>
        <v>793.401729489422</v>
      </c>
      <c r="I34" s="75">
        <f t="shared" si="4"/>
        <v>793.401729489422</v>
      </c>
      <c r="J34" s="76">
        <f t="shared" si="14"/>
        <v>191456.34260784567</v>
      </c>
      <c r="K34" s="76">
        <f>J34*Dashboard!$K$26/12</f>
        <v>427.58583182418869</v>
      </c>
      <c r="L34" s="76">
        <f t="shared" si="5"/>
        <v>381.50001075316646</v>
      </c>
      <c r="M34" s="76">
        <f>IF(H34=0,0,IFERROR(-PMT(Dashboard!$K$26^1/12,Dashboard!$I$30,Dashboard!$I$26),0))</f>
        <v>809.08584257735515</v>
      </c>
      <c r="P34" s="59">
        <v>23</v>
      </c>
      <c r="Q34" s="28">
        <f t="shared" si="6"/>
        <v>0</v>
      </c>
      <c r="R34" s="20">
        <f>Q34/Dashboard!$I$25</f>
        <v>0</v>
      </c>
      <c r="S34" s="20">
        <f t="shared" si="15"/>
        <v>0</v>
      </c>
      <c r="T34" s="20">
        <f>IF($D$2="JA",Dashboard!$K$27-$S$11+S34,Dashboard!$K$27)</f>
        <v>2.6800000000000001E-2</v>
      </c>
      <c r="U34" s="27">
        <f t="shared" si="7"/>
        <v>0</v>
      </c>
      <c r="V34" s="26">
        <f>IF(Q34&lt;=1,0,Dashboard!$I$27/Dashboard!$I$30)</f>
        <v>0</v>
      </c>
      <c r="W34" s="28">
        <f>Q34*Dashboard!$K$27/12</f>
        <v>0</v>
      </c>
      <c r="Y34" s="59">
        <v>23</v>
      </c>
      <c r="Z34" s="67">
        <f>Dashboard!$I$28</f>
        <v>0</v>
      </c>
      <c r="AA34" s="64">
        <f>IF(Z34&lt;=1,0,Dashboard!$I$30-Y34)</f>
        <v>0</v>
      </c>
      <c r="AB34" s="64">
        <f t="shared" si="8"/>
        <v>0</v>
      </c>
      <c r="AC34" s="1">
        <f>Dashboard!$K$28</f>
        <v>2.6800000000000001E-2</v>
      </c>
      <c r="AD34" s="28">
        <f t="shared" si="9"/>
        <v>0</v>
      </c>
      <c r="AF34" s="2">
        <f t="shared" si="16"/>
        <v>191258.6071879509</v>
      </c>
      <c r="AG34" s="62">
        <f>(B34+Q34+Z34)/Dashboard!$I$25</f>
        <v>0.76503442875180361</v>
      </c>
      <c r="AH34" s="20">
        <f t="shared" si="17"/>
        <v>1.5E-3</v>
      </c>
      <c r="AI34" s="20">
        <f>IF($D$2="JA",Dashboard!$K$26-$AH$11+AH34,Dashboard!$K$26)</f>
        <v>2.5300000000000003E-2</v>
      </c>
      <c r="AJ34" s="27">
        <f>Tabel2[[#This Row],[Schuldrest]]*AI34/12</f>
        <v>403.2368968212632</v>
      </c>
      <c r="AK34" s="20">
        <f>IF($D$2="JA",Dashboard!$K$27-$AH$11+AH34,Dashboard!$K$27)</f>
        <v>2.5300000000000003E-2</v>
      </c>
      <c r="AL34" s="27">
        <f t="shared" si="0"/>
        <v>0</v>
      </c>
      <c r="AM34" s="20">
        <f>IF($D$2="JA",Dashboard!$K$28-$AH$11+AH34,Dashboard!$K$28)</f>
        <v>2.5300000000000003E-2</v>
      </c>
      <c r="AN34" s="27">
        <f t="shared" si="1"/>
        <v>0</v>
      </c>
      <c r="AO34" s="63">
        <f>Tabel2[[#This Row],[Aflossing]]+V34</f>
        <v>390.16483266815879</v>
      </c>
      <c r="AP34" s="63">
        <f t="shared" si="10"/>
        <v>403.2368968212632</v>
      </c>
      <c r="AQ34" s="2">
        <f t="shared" si="11"/>
        <v>427.58583182418869</v>
      </c>
      <c r="AU34" s="20"/>
      <c r="AV34" s="20"/>
    </row>
    <row r="35" spans="1:48">
      <c r="A35" s="71">
        <v>24</v>
      </c>
      <c r="B35" s="77">
        <f t="shared" si="12"/>
        <v>190868.44235528275</v>
      </c>
      <c r="C35" s="73">
        <f>B35/Dashboard!$I$25</f>
        <v>0.76347376942113099</v>
      </c>
      <c r="D35" s="74">
        <f t="shared" si="2"/>
        <v>1.5E-3</v>
      </c>
      <c r="E35" s="73">
        <f>IF($D$2="JA",Dashboard!$K$26-$D$11+D35,Dashboard!$K$26)</f>
        <v>2.5300000000000003E-2</v>
      </c>
      <c r="F35" s="72">
        <f t="shared" si="3"/>
        <v>402.41429929905456</v>
      </c>
      <c r="G35" s="72">
        <f t="shared" si="13"/>
        <v>390.98743019036732</v>
      </c>
      <c r="H35" s="72">
        <f>IFERROR(-PMT(E35^1/12,Dashboard!$I$30-A35,B35),0)</f>
        <v>793.40172948942188</v>
      </c>
      <c r="I35" s="75">
        <f t="shared" si="4"/>
        <v>793.40172948942188</v>
      </c>
      <c r="J35" s="76">
        <f t="shared" si="14"/>
        <v>191074.8425970925</v>
      </c>
      <c r="K35" s="76">
        <f>J35*Dashboard!$K$26/12</f>
        <v>426.7338151335066</v>
      </c>
      <c r="L35" s="76">
        <f t="shared" si="5"/>
        <v>382.35202744384856</v>
      </c>
      <c r="M35" s="76">
        <f>IF(H35=0,0,IFERROR(-PMT(Dashboard!$K$26^1/12,Dashboard!$I$30,Dashboard!$I$26),0))</f>
        <v>809.08584257735515</v>
      </c>
      <c r="P35" s="59">
        <v>24</v>
      </c>
      <c r="Q35" s="28">
        <f t="shared" si="6"/>
        <v>0</v>
      </c>
      <c r="R35" s="20">
        <f>Q35/Dashboard!$I$25</f>
        <v>0</v>
      </c>
      <c r="S35" s="20">
        <f t="shared" si="15"/>
        <v>0</v>
      </c>
      <c r="T35" s="20">
        <f>IF($D$2="JA",Dashboard!$K$27-$S$11+S35,Dashboard!$K$27)</f>
        <v>2.6800000000000001E-2</v>
      </c>
      <c r="U35" s="27">
        <f t="shared" si="7"/>
        <v>0</v>
      </c>
      <c r="V35" s="26">
        <f>IF(Q35&lt;=1,0,Dashboard!$I$27/Dashboard!$I$30)</f>
        <v>0</v>
      </c>
      <c r="W35" s="28">
        <f>Q35*Dashboard!$K$27/12</f>
        <v>0</v>
      </c>
      <c r="Y35" s="59">
        <v>24</v>
      </c>
      <c r="Z35" s="67">
        <f>Dashboard!$I$28</f>
        <v>0</v>
      </c>
      <c r="AA35" s="64">
        <f>IF(Z35&lt;=1,0,Dashboard!$I$30-Y35)</f>
        <v>0</v>
      </c>
      <c r="AB35" s="64">
        <f t="shared" si="8"/>
        <v>0</v>
      </c>
      <c r="AC35" s="1">
        <f>Dashboard!$K$28</f>
        <v>2.6800000000000001E-2</v>
      </c>
      <c r="AD35" s="28">
        <f t="shared" si="9"/>
        <v>0</v>
      </c>
      <c r="AF35" s="2">
        <f t="shared" si="16"/>
        <v>190868.44235528275</v>
      </c>
      <c r="AG35" s="62">
        <f>(B35+Q35+Z35)/Dashboard!$I$25</f>
        <v>0.76347376942113099</v>
      </c>
      <c r="AH35" s="20">
        <f t="shared" si="17"/>
        <v>1.5E-3</v>
      </c>
      <c r="AI35" s="20">
        <f>IF($D$2="JA",Dashboard!$K$26-$AH$11+AH35,Dashboard!$K$26)</f>
        <v>2.5300000000000003E-2</v>
      </c>
      <c r="AJ35" s="27">
        <f>Tabel2[[#This Row],[Schuldrest]]*AI35/12</f>
        <v>402.41429929905456</v>
      </c>
      <c r="AK35" s="20">
        <f>IF($D$2="JA",Dashboard!$K$27-$AH$11+AH35,Dashboard!$K$27)</f>
        <v>2.5300000000000003E-2</v>
      </c>
      <c r="AL35" s="27">
        <f t="shared" si="0"/>
        <v>0</v>
      </c>
      <c r="AM35" s="20">
        <f>IF($D$2="JA",Dashboard!$K$28-$AH$11+AH35,Dashboard!$K$28)</f>
        <v>2.5300000000000003E-2</v>
      </c>
      <c r="AN35" s="27">
        <f t="shared" si="1"/>
        <v>0</v>
      </c>
      <c r="AO35" s="63">
        <f>Tabel2[[#This Row],[Aflossing]]+V35</f>
        <v>390.98743019036732</v>
      </c>
      <c r="AP35" s="63">
        <f t="shared" si="10"/>
        <v>402.41429929905456</v>
      </c>
      <c r="AQ35" s="2">
        <f t="shared" si="11"/>
        <v>426.7338151335066</v>
      </c>
      <c r="AU35" s="20"/>
      <c r="AV35" s="20"/>
    </row>
    <row r="36" spans="1:48">
      <c r="A36" s="71">
        <v>25</v>
      </c>
      <c r="B36" s="77">
        <f t="shared" si="12"/>
        <v>190477.45492509237</v>
      </c>
      <c r="C36" s="73">
        <f>B36/Dashboard!$I$25</f>
        <v>0.76190981970036953</v>
      </c>
      <c r="D36" s="74">
        <f t="shared" si="2"/>
        <v>1.5E-3</v>
      </c>
      <c r="E36" s="73">
        <f>IF($D$2="JA",Dashboard!$K$26-$D$11+D36,Dashboard!$K$26)</f>
        <v>2.5300000000000003E-2</v>
      </c>
      <c r="F36" s="72">
        <f t="shared" si="3"/>
        <v>401.58996746706981</v>
      </c>
      <c r="G36" s="72">
        <f t="shared" si="13"/>
        <v>391.81176202235207</v>
      </c>
      <c r="H36" s="72">
        <f>IFERROR(-PMT(E36^1/12,Dashboard!$I$30-A36,B36),0)</f>
        <v>793.40172948942188</v>
      </c>
      <c r="I36" s="75">
        <f t="shared" si="4"/>
        <v>793.40172948942188</v>
      </c>
      <c r="J36" s="76">
        <f t="shared" si="14"/>
        <v>190692.49056964865</v>
      </c>
      <c r="K36" s="76">
        <f>J36*Dashboard!$K$26/12</f>
        <v>425.87989560554865</v>
      </c>
      <c r="L36" s="76">
        <f t="shared" si="5"/>
        <v>383.2059469718065</v>
      </c>
      <c r="M36" s="76">
        <f>IF(H36=0,0,IFERROR(-PMT(Dashboard!$K$26^1/12,Dashboard!$I$30,Dashboard!$I$26),0))</f>
        <v>809.08584257735515</v>
      </c>
      <c r="P36" s="59">
        <v>25</v>
      </c>
      <c r="Q36" s="28">
        <f t="shared" si="6"/>
        <v>0</v>
      </c>
      <c r="R36" s="20">
        <f>Q36/Dashboard!$I$25</f>
        <v>0</v>
      </c>
      <c r="S36" s="20">
        <f t="shared" si="15"/>
        <v>0</v>
      </c>
      <c r="T36" s="20">
        <f>IF($D$2="JA",Dashboard!$K$27-$S$11+S36,Dashboard!$K$27)</f>
        <v>2.6800000000000001E-2</v>
      </c>
      <c r="U36" s="27">
        <f t="shared" si="7"/>
        <v>0</v>
      </c>
      <c r="V36" s="26">
        <f>IF(Q36&lt;=1,0,Dashboard!$I$27/Dashboard!$I$30)</f>
        <v>0</v>
      </c>
      <c r="W36" s="28">
        <f>Q36*Dashboard!$K$27/12</f>
        <v>0</v>
      </c>
      <c r="Y36" s="59">
        <v>25</v>
      </c>
      <c r="Z36" s="67">
        <f>Dashboard!$I$28</f>
        <v>0</v>
      </c>
      <c r="AA36" s="64">
        <f>IF(Z36&lt;=1,0,Dashboard!$I$30-Y36)</f>
        <v>0</v>
      </c>
      <c r="AB36" s="64">
        <f t="shared" si="8"/>
        <v>0</v>
      </c>
      <c r="AC36" s="1">
        <f>Dashboard!$K$28</f>
        <v>2.6800000000000001E-2</v>
      </c>
      <c r="AD36" s="28">
        <f t="shared" si="9"/>
        <v>0</v>
      </c>
      <c r="AF36" s="2">
        <f t="shared" si="16"/>
        <v>190477.45492509237</v>
      </c>
      <c r="AG36" s="62">
        <f>(B36+Q36+Z36)/Dashboard!$I$25</f>
        <v>0.76190981970036953</v>
      </c>
      <c r="AH36" s="20">
        <f t="shared" si="17"/>
        <v>1.5E-3</v>
      </c>
      <c r="AI36" s="20">
        <f>IF($D$2="JA",Dashboard!$K$26-$AH$11+AH36,Dashboard!$K$26)</f>
        <v>2.5300000000000003E-2</v>
      </c>
      <c r="AJ36" s="27">
        <f>Tabel2[[#This Row],[Schuldrest]]*AI36/12</f>
        <v>401.58996746706981</v>
      </c>
      <c r="AK36" s="20">
        <f>IF($D$2="JA",Dashboard!$K$27-$AH$11+AH36,Dashboard!$K$27)</f>
        <v>2.5300000000000003E-2</v>
      </c>
      <c r="AL36" s="27">
        <f t="shared" si="0"/>
        <v>0</v>
      </c>
      <c r="AM36" s="20">
        <f>IF($D$2="JA",Dashboard!$K$28-$AH$11+AH36,Dashboard!$K$28)</f>
        <v>2.5300000000000003E-2</v>
      </c>
      <c r="AN36" s="27">
        <f t="shared" si="1"/>
        <v>0</v>
      </c>
      <c r="AO36" s="63">
        <f>Tabel2[[#This Row],[Aflossing]]+V36</f>
        <v>391.81176202235207</v>
      </c>
      <c r="AP36" s="63">
        <f t="shared" si="10"/>
        <v>401.58996746706981</v>
      </c>
      <c r="AQ36" s="2">
        <f t="shared" si="11"/>
        <v>425.87989560554865</v>
      </c>
      <c r="AU36" s="20"/>
      <c r="AV36" s="20"/>
    </row>
    <row r="37" spans="1:48">
      <c r="A37" s="71">
        <v>26</v>
      </c>
      <c r="B37" s="77">
        <f t="shared" si="12"/>
        <v>190085.64316307002</v>
      </c>
      <c r="C37" s="73">
        <f>B37/Dashboard!$I$25</f>
        <v>0.76034257265228011</v>
      </c>
      <c r="D37" s="74">
        <f t="shared" si="2"/>
        <v>1.5E-3</v>
      </c>
      <c r="E37" s="73">
        <f>IF($D$2="JA",Dashboard!$K$26-$D$11+D37,Dashboard!$K$26)</f>
        <v>2.5300000000000003E-2</v>
      </c>
      <c r="F37" s="72">
        <f t="shared" si="3"/>
        <v>400.76389766880601</v>
      </c>
      <c r="G37" s="72">
        <f t="shared" si="13"/>
        <v>392.6378318206161</v>
      </c>
      <c r="H37" s="72">
        <f>IFERROR(-PMT(E37^1/12,Dashboard!$I$30-A37,B37),0)</f>
        <v>793.40172948942211</v>
      </c>
      <c r="I37" s="75">
        <f t="shared" si="4"/>
        <v>793.40172948942211</v>
      </c>
      <c r="J37" s="76">
        <f t="shared" si="14"/>
        <v>190309.28462267685</v>
      </c>
      <c r="K37" s="76">
        <f>J37*Dashboard!$K$26/12</f>
        <v>425.02406899064499</v>
      </c>
      <c r="L37" s="76">
        <f t="shared" si="5"/>
        <v>384.06177358671016</v>
      </c>
      <c r="M37" s="76">
        <f>IF(H37=0,0,IFERROR(-PMT(Dashboard!$K$26^1/12,Dashboard!$I$30,Dashboard!$I$26),0))</f>
        <v>809.08584257735515</v>
      </c>
      <c r="P37" s="59">
        <v>26</v>
      </c>
      <c r="Q37" s="28">
        <f t="shared" si="6"/>
        <v>0</v>
      </c>
      <c r="R37" s="20">
        <f>Q37/Dashboard!$I$25</f>
        <v>0</v>
      </c>
      <c r="S37" s="20">
        <f t="shared" si="15"/>
        <v>0</v>
      </c>
      <c r="T37" s="20">
        <f>IF($D$2="JA",Dashboard!$K$27-$S$11+S37,Dashboard!$K$27)</f>
        <v>2.6800000000000001E-2</v>
      </c>
      <c r="U37" s="27">
        <f t="shared" si="7"/>
        <v>0</v>
      </c>
      <c r="V37" s="26">
        <f>IF(Q37&lt;=1,0,Dashboard!$I$27/Dashboard!$I$30)</f>
        <v>0</v>
      </c>
      <c r="W37" s="28">
        <f>Q37*Dashboard!$K$27/12</f>
        <v>0</v>
      </c>
      <c r="Y37" s="59">
        <v>26</v>
      </c>
      <c r="Z37" s="67">
        <f>Dashboard!$I$28</f>
        <v>0</v>
      </c>
      <c r="AA37" s="64">
        <f>IF(Z37&lt;=1,0,Dashboard!$I$30-Y37)</f>
        <v>0</v>
      </c>
      <c r="AB37" s="64">
        <f t="shared" si="8"/>
        <v>0</v>
      </c>
      <c r="AC37" s="1">
        <f>Dashboard!$K$28</f>
        <v>2.6800000000000001E-2</v>
      </c>
      <c r="AD37" s="28">
        <f t="shared" si="9"/>
        <v>0</v>
      </c>
      <c r="AF37" s="2">
        <f t="shared" si="16"/>
        <v>190085.64316307002</v>
      </c>
      <c r="AG37" s="62">
        <f>(B37+Q37+Z37)/Dashboard!$I$25</f>
        <v>0.76034257265228011</v>
      </c>
      <c r="AH37" s="20">
        <f t="shared" si="17"/>
        <v>1.5E-3</v>
      </c>
      <c r="AI37" s="20">
        <f>IF($D$2="JA",Dashboard!$K$26-$AH$11+AH37,Dashboard!$K$26)</f>
        <v>2.5300000000000003E-2</v>
      </c>
      <c r="AJ37" s="27">
        <f>Tabel2[[#This Row],[Schuldrest]]*AI37/12</f>
        <v>400.76389766880601</v>
      </c>
      <c r="AK37" s="20">
        <f>IF($D$2="JA",Dashboard!$K$27-$AH$11+AH37,Dashboard!$K$27)</f>
        <v>2.5300000000000003E-2</v>
      </c>
      <c r="AL37" s="27">
        <f t="shared" si="0"/>
        <v>0</v>
      </c>
      <c r="AM37" s="20">
        <f>IF($D$2="JA",Dashboard!$K$28-$AH$11+AH37,Dashboard!$K$28)</f>
        <v>2.5300000000000003E-2</v>
      </c>
      <c r="AN37" s="27">
        <f t="shared" si="1"/>
        <v>0</v>
      </c>
      <c r="AO37" s="63">
        <f>Tabel2[[#This Row],[Aflossing]]+V37</f>
        <v>392.6378318206161</v>
      </c>
      <c r="AP37" s="63">
        <f t="shared" si="10"/>
        <v>400.76389766880601</v>
      </c>
      <c r="AQ37" s="2">
        <f t="shared" si="11"/>
        <v>425.02406899064499</v>
      </c>
      <c r="AU37" s="20"/>
      <c r="AV37" s="20"/>
    </row>
    <row r="38" spans="1:48">
      <c r="A38" s="71">
        <v>27</v>
      </c>
      <c r="B38" s="77">
        <f t="shared" si="12"/>
        <v>189693.00533124941</v>
      </c>
      <c r="C38" s="73">
        <f>B38/Dashboard!$I$25</f>
        <v>0.75877202132499766</v>
      </c>
      <c r="D38" s="74">
        <f t="shared" si="2"/>
        <v>1.5E-3</v>
      </c>
      <c r="E38" s="73">
        <f>IF($D$2="JA",Dashboard!$K$26-$D$11+D38,Dashboard!$K$26)</f>
        <v>2.5300000000000003E-2</v>
      </c>
      <c r="F38" s="72">
        <f t="shared" si="3"/>
        <v>399.93608624005088</v>
      </c>
      <c r="G38" s="72">
        <f t="shared" si="13"/>
        <v>393.46564324937111</v>
      </c>
      <c r="H38" s="72">
        <f>IFERROR(-PMT(E38^1/12,Dashboard!$I$30-A38,B38),0)</f>
        <v>793.401729489422</v>
      </c>
      <c r="I38" s="75">
        <f t="shared" si="4"/>
        <v>793.401729489422</v>
      </c>
      <c r="J38" s="76">
        <f t="shared" si="14"/>
        <v>189925.22284909015</v>
      </c>
      <c r="K38" s="76">
        <f>J38*Dashboard!$K$26/12</f>
        <v>424.16633102963465</v>
      </c>
      <c r="L38" s="76">
        <f t="shared" si="5"/>
        <v>384.9195115477205</v>
      </c>
      <c r="M38" s="76">
        <f>IF(H38=0,0,IFERROR(-PMT(Dashboard!$K$26^1/12,Dashboard!$I$30,Dashboard!$I$26),0))</f>
        <v>809.08584257735515</v>
      </c>
      <c r="P38" s="59">
        <v>27</v>
      </c>
      <c r="Q38" s="28">
        <f t="shared" si="6"/>
        <v>0</v>
      </c>
      <c r="R38" s="20">
        <f>Q38/Dashboard!$I$25</f>
        <v>0</v>
      </c>
      <c r="S38" s="20">
        <f t="shared" si="15"/>
        <v>0</v>
      </c>
      <c r="T38" s="20">
        <f>IF($D$2="JA",Dashboard!$K$27-$S$11+S38,Dashboard!$K$27)</f>
        <v>2.6800000000000001E-2</v>
      </c>
      <c r="U38" s="27">
        <f t="shared" si="7"/>
        <v>0</v>
      </c>
      <c r="V38" s="26">
        <f>IF(Q38&lt;=1,0,Dashboard!$I$27/Dashboard!$I$30)</f>
        <v>0</v>
      </c>
      <c r="W38" s="28">
        <f>Q38*Dashboard!$K$27/12</f>
        <v>0</v>
      </c>
      <c r="Y38" s="59">
        <v>27</v>
      </c>
      <c r="Z38" s="67">
        <f>Dashboard!$I$28</f>
        <v>0</v>
      </c>
      <c r="AA38" s="64">
        <f>IF(Z38&lt;=1,0,Dashboard!$I$30-Y38)</f>
        <v>0</v>
      </c>
      <c r="AB38" s="64">
        <f t="shared" si="8"/>
        <v>0</v>
      </c>
      <c r="AC38" s="1">
        <f>Dashboard!$K$28</f>
        <v>2.6800000000000001E-2</v>
      </c>
      <c r="AD38" s="28">
        <f t="shared" si="9"/>
        <v>0</v>
      </c>
      <c r="AF38" s="2">
        <f t="shared" si="16"/>
        <v>189693.00533124941</v>
      </c>
      <c r="AG38" s="62">
        <f>(B38+Q38+Z38)/Dashboard!$I$25</f>
        <v>0.75877202132499766</v>
      </c>
      <c r="AH38" s="20">
        <f t="shared" si="17"/>
        <v>1.5E-3</v>
      </c>
      <c r="AI38" s="20">
        <f>IF($D$2="JA",Dashboard!$K$26-$AH$11+AH38,Dashboard!$K$26)</f>
        <v>2.5300000000000003E-2</v>
      </c>
      <c r="AJ38" s="27">
        <f>Tabel2[[#This Row],[Schuldrest]]*AI38/12</f>
        <v>399.93608624005088</v>
      </c>
      <c r="AK38" s="20">
        <f>IF($D$2="JA",Dashboard!$K$27-$AH$11+AH38,Dashboard!$K$27)</f>
        <v>2.5300000000000003E-2</v>
      </c>
      <c r="AL38" s="27">
        <f t="shared" si="0"/>
        <v>0</v>
      </c>
      <c r="AM38" s="20">
        <f>IF($D$2="JA",Dashboard!$K$28-$AH$11+AH38,Dashboard!$K$28)</f>
        <v>2.5300000000000003E-2</v>
      </c>
      <c r="AN38" s="27">
        <f t="shared" si="1"/>
        <v>0</v>
      </c>
      <c r="AO38" s="63">
        <f>Tabel2[[#This Row],[Aflossing]]+V38</f>
        <v>393.46564324937111</v>
      </c>
      <c r="AP38" s="63">
        <f t="shared" si="10"/>
        <v>399.93608624005088</v>
      </c>
      <c r="AQ38" s="2">
        <f t="shared" si="11"/>
        <v>424.16633102963465</v>
      </c>
      <c r="AU38" s="20"/>
      <c r="AV38" s="20"/>
    </row>
    <row r="39" spans="1:48">
      <c r="A39" s="71">
        <v>28</v>
      </c>
      <c r="B39" s="77">
        <f t="shared" si="12"/>
        <v>189299.53968800005</v>
      </c>
      <c r="C39" s="73">
        <f>B39/Dashboard!$I$25</f>
        <v>0.75719815875200014</v>
      </c>
      <c r="D39" s="74">
        <f t="shared" si="2"/>
        <v>1.5E-3</v>
      </c>
      <c r="E39" s="73">
        <f>IF($D$2="JA",Dashboard!$K$26-$D$11+D39,Dashboard!$K$26)</f>
        <v>2.5300000000000003E-2</v>
      </c>
      <c r="F39" s="72">
        <f t="shared" si="3"/>
        <v>399.1065295088668</v>
      </c>
      <c r="G39" s="72">
        <f t="shared" si="13"/>
        <v>394.2951999805552</v>
      </c>
      <c r="H39" s="72">
        <f>IFERROR(-PMT(E39^1/12,Dashboard!$I$30-A39,B39),0)</f>
        <v>793.401729489422</v>
      </c>
      <c r="I39" s="75">
        <f t="shared" si="4"/>
        <v>793.401729489422</v>
      </c>
      <c r="J39" s="76">
        <f t="shared" si="14"/>
        <v>189540.30333754243</v>
      </c>
      <c r="K39" s="76">
        <f>J39*Dashboard!$K$26/12</f>
        <v>423.30667745384477</v>
      </c>
      <c r="L39" s="76">
        <f t="shared" si="5"/>
        <v>385.77916512351038</v>
      </c>
      <c r="M39" s="76">
        <f>IF(H39=0,0,IFERROR(-PMT(Dashboard!$K$26^1/12,Dashboard!$I$30,Dashboard!$I$26),0))</f>
        <v>809.08584257735515</v>
      </c>
      <c r="P39" s="59">
        <v>28</v>
      </c>
      <c r="Q39" s="28">
        <f t="shared" si="6"/>
        <v>0</v>
      </c>
      <c r="R39" s="20">
        <f>Q39/Dashboard!$I$25</f>
        <v>0</v>
      </c>
      <c r="S39" s="20">
        <f t="shared" si="15"/>
        <v>0</v>
      </c>
      <c r="T39" s="20">
        <f>IF($D$2="JA",Dashboard!$K$27-$S$11+S39,Dashboard!$K$27)</f>
        <v>2.6800000000000001E-2</v>
      </c>
      <c r="U39" s="27">
        <f t="shared" si="7"/>
        <v>0</v>
      </c>
      <c r="V39" s="26">
        <f>IF(Q39&lt;=1,0,Dashboard!$I$27/Dashboard!$I$30)</f>
        <v>0</v>
      </c>
      <c r="W39" s="28">
        <f>Q39*Dashboard!$K$27/12</f>
        <v>0</v>
      </c>
      <c r="Y39" s="59">
        <v>28</v>
      </c>
      <c r="Z39" s="67">
        <f>Dashboard!$I$28</f>
        <v>0</v>
      </c>
      <c r="AA39" s="64">
        <f>IF(Z39&lt;=1,0,Dashboard!$I$30-Y39)</f>
        <v>0</v>
      </c>
      <c r="AB39" s="64">
        <f t="shared" si="8"/>
        <v>0</v>
      </c>
      <c r="AC39" s="1">
        <f>Dashboard!$K$28</f>
        <v>2.6800000000000001E-2</v>
      </c>
      <c r="AD39" s="28">
        <f t="shared" si="9"/>
        <v>0</v>
      </c>
      <c r="AF39" s="2">
        <f t="shared" si="16"/>
        <v>189299.53968800005</v>
      </c>
      <c r="AG39" s="62">
        <f>(B39+Q39+Z39)/Dashboard!$I$25</f>
        <v>0.75719815875200014</v>
      </c>
      <c r="AH39" s="20">
        <f t="shared" si="17"/>
        <v>1.5E-3</v>
      </c>
      <c r="AI39" s="20">
        <f>IF($D$2="JA",Dashboard!$K$26-$AH$11+AH39,Dashboard!$K$26)</f>
        <v>2.5300000000000003E-2</v>
      </c>
      <c r="AJ39" s="27">
        <f>Tabel2[[#This Row],[Schuldrest]]*AI39/12</f>
        <v>399.1065295088668</v>
      </c>
      <c r="AK39" s="20">
        <f>IF($D$2="JA",Dashboard!$K$27-$AH$11+AH39,Dashboard!$K$27)</f>
        <v>2.5300000000000003E-2</v>
      </c>
      <c r="AL39" s="27">
        <f t="shared" si="0"/>
        <v>0</v>
      </c>
      <c r="AM39" s="20">
        <f>IF($D$2="JA",Dashboard!$K$28-$AH$11+AH39,Dashboard!$K$28)</f>
        <v>2.5300000000000003E-2</v>
      </c>
      <c r="AN39" s="27">
        <f t="shared" si="1"/>
        <v>0</v>
      </c>
      <c r="AO39" s="63">
        <f>Tabel2[[#This Row],[Aflossing]]+V39</f>
        <v>394.2951999805552</v>
      </c>
      <c r="AP39" s="63">
        <f t="shared" si="10"/>
        <v>399.1065295088668</v>
      </c>
      <c r="AQ39" s="2">
        <f t="shared" si="11"/>
        <v>423.30667745384477</v>
      </c>
      <c r="AU39" s="20"/>
      <c r="AV39" s="20"/>
    </row>
    <row r="40" spans="1:48">
      <c r="A40" s="71">
        <v>29</v>
      </c>
      <c r="B40" s="77">
        <f t="shared" si="12"/>
        <v>188905.2444880195</v>
      </c>
      <c r="C40" s="73">
        <f>B40/Dashboard!$I$25</f>
        <v>0.75562097795207794</v>
      </c>
      <c r="D40" s="74">
        <f t="shared" si="2"/>
        <v>1.5E-3</v>
      </c>
      <c r="E40" s="73">
        <f>IF($D$2="JA",Dashboard!$K$26-$D$11+D40,Dashboard!$K$26)</f>
        <v>2.5300000000000003E-2</v>
      </c>
      <c r="F40" s="72">
        <f t="shared" si="3"/>
        <v>398.2752237955745</v>
      </c>
      <c r="G40" s="72">
        <f t="shared" si="13"/>
        <v>395.12650569384749</v>
      </c>
      <c r="H40" s="72">
        <f>IFERROR(-PMT(E40^1/12,Dashboard!$I$30-A40,B40),0)</f>
        <v>793.401729489422</v>
      </c>
      <c r="I40" s="75">
        <f t="shared" si="4"/>
        <v>793.401729489422</v>
      </c>
      <c r="J40" s="76">
        <f t="shared" si="14"/>
        <v>189154.52417241893</v>
      </c>
      <c r="K40" s="76">
        <f>J40*Dashboard!$K$26/12</f>
        <v>422.44510398506895</v>
      </c>
      <c r="L40" s="76">
        <f t="shared" si="5"/>
        <v>386.6407385922862</v>
      </c>
      <c r="M40" s="76">
        <f>IF(H40=0,0,IFERROR(-PMT(Dashboard!$K$26^1/12,Dashboard!$I$30,Dashboard!$I$26),0))</f>
        <v>809.08584257735515</v>
      </c>
      <c r="P40" s="59">
        <v>29</v>
      </c>
      <c r="Q40" s="28">
        <f t="shared" si="6"/>
        <v>0</v>
      </c>
      <c r="R40" s="20">
        <f>Q40/Dashboard!$I$25</f>
        <v>0</v>
      </c>
      <c r="S40" s="20">
        <f t="shared" si="15"/>
        <v>0</v>
      </c>
      <c r="T40" s="20">
        <f>IF($D$2="JA",Dashboard!$K$27-$S$11+S40,Dashboard!$K$27)</f>
        <v>2.6800000000000001E-2</v>
      </c>
      <c r="U40" s="27">
        <f t="shared" si="7"/>
        <v>0</v>
      </c>
      <c r="V40" s="26">
        <f>IF(Q40&lt;=1,0,Dashboard!$I$27/Dashboard!$I$30)</f>
        <v>0</v>
      </c>
      <c r="W40" s="28">
        <f>Q40*Dashboard!$K$27/12</f>
        <v>0</v>
      </c>
      <c r="Y40" s="59">
        <v>29</v>
      </c>
      <c r="Z40" s="67">
        <f>Dashboard!$I$28</f>
        <v>0</v>
      </c>
      <c r="AA40" s="64">
        <f>IF(Z40&lt;=1,0,Dashboard!$I$30-Y40)</f>
        <v>0</v>
      </c>
      <c r="AB40" s="64">
        <f t="shared" si="8"/>
        <v>0</v>
      </c>
      <c r="AC40" s="1">
        <f>Dashboard!$K$28</f>
        <v>2.6800000000000001E-2</v>
      </c>
      <c r="AD40" s="28">
        <f t="shared" si="9"/>
        <v>0</v>
      </c>
      <c r="AF40" s="2">
        <f t="shared" si="16"/>
        <v>188905.2444880195</v>
      </c>
      <c r="AG40" s="62">
        <f>(B40+Q40+Z40)/Dashboard!$I$25</f>
        <v>0.75562097795207794</v>
      </c>
      <c r="AH40" s="20">
        <f t="shared" si="17"/>
        <v>1.5E-3</v>
      </c>
      <c r="AI40" s="20">
        <f>IF($D$2="JA",Dashboard!$K$26-$AH$11+AH40,Dashboard!$K$26)</f>
        <v>2.5300000000000003E-2</v>
      </c>
      <c r="AJ40" s="27">
        <f>Tabel2[[#This Row],[Schuldrest]]*AI40/12</f>
        <v>398.2752237955745</v>
      </c>
      <c r="AK40" s="20">
        <f>IF($D$2="JA",Dashboard!$K$27-$AH$11+AH40,Dashboard!$K$27)</f>
        <v>2.5300000000000003E-2</v>
      </c>
      <c r="AL40" s="27">
        <f t="shared" si="0"/>
        <v>0</v>
      </c>
      <c r="AM40" s="20">
        <f>IF($D$2="JA",Dashboard!$K$28-$AH$11+AH40,Dashboard!$K$28)</f>
        <v>2.5300000000000003E-2</v>
      </c>
      <c r="AN40" s="27">
        <f t="shared" si="1"/>
        <v>0</v>
      </c>
      <c r="AO40" s="63">
        <f>Tabel2[[#This Row],[Aflossing]]+V40</f>
        <v>395.12650569384749</v>
      </c>
      <c r="AP40" s="63">
        <f t="shared" si="10"/>
        <v>398.2752237955745</v>
      </c>
      <c r="AQ40" s="2">
        <f t="shared" si="11"/>
        <v>422.44510398506895</v>
      </c>
      <c r="AU40" s="20"/>
      <c r="AV40" s="20"/>
    </row>
    <row r="41" spans="1:48">
      <c r="A41" s="71">
        <v>30</v>
      </c>
      <c r="B41" s="77">
        <f t="shared" si="12"/>
        <v>188510.11798232564</v>
      </c>
      <c r="C41" s="73">
        <f>B41/Dashboard!$I$25</f>
        <v>0.75404047192930257</v>
      </c>
      <c r="D41" s="74">
        <f t="shared" si="2"/>
        <v>1.5E-3</v>
      </c>
      <c r="E41" s="73">
        <f>IF($D$2="JA",Dashboard!$K$26-$D$11+D41,Dashboard!$K$26)</f>
        <v>2.5300000000000003E-2</v>
      </c>
      <c r="F41" s="72">
        <f t="shared" si="3"/>
        <v>397.44216541273659</v>
      </c>
      <c r="G41" s="72">
        <f t="shared" si="13"/>
        <v>395.95956407668541</v>
      </c>
      <c r="H41" s="72">
        <f>IFERROR(-PMT(E41^1/12,Dashboard!$I$30-A41,B41),0)</f>
        <v>793.401729489422</v>
      </c>
      <c r="I41" s="75">
        <f t="shared" si="4"/>
        <v>793.401729489422</v>
      </c>
      <c r="J41" s="76">
        <f t="shared" si="14"/>
        <v>188767.88343382665</v>
      </c>
      <c r="K41" s="76">
        <f>J41*Dashboard!$K$26/12</f>
        <v>421.58160633554621</v>
      </c>
      <c r="L41" s="76">
        <f t="shared" si="5"/>
        <v>387.50423624180894</v>
      </c>
      <c r="M41" s="76">
        <f>IF(H41=0,0,IFERROR(-PMT(Dashboard!$K$26^1/12,Dashboard!$I$30,Dashboard!$I$26),0))</f>
        <v>809.08584257735515</v>
      </c>
      <c r="P41" s="59">
        <v>30</v>
      </c>
      <c r="Q41" s="28">
        <f t="shared" si="6"/>
        <v>0</v>
      </c>
      <c r="R41" s="20">
        <f>Q41/Dashboard!$I$25</f>
        <v>0</v>
      </c>
      <c r="S41" s="20">
        <f t="shared" si="15"/>
        <v>0</v>
      </c>
      <c r="T41" s="20">
        <f>IF($D$2="JA",Dashboard!$K$27-$S$11+S41,Dashboard!$K$27)</f>
        <v>2.6800000000000001E-2</v>
      </c>
      <c r="U41" s="27">
        <f t="shared" si="7"/>
        <v>0</v>
      </c>
      <c r="V41" s="26">
        <f>IF(Q41&lt;=1,0,Dashboard!$I$27/Dashboard!$I$30)</f>
        <v>0</v>
      </c>
      <c r="W41" s="28">
        <f>Q41*Dashboard!$K$27/12</f>
        <v>0</v>
      </c>
      <c r="Y41" s="59">
        <v>30</v>
      </c>
      <c r="Z41" s="67">
        <f>Dashboard!$I$28</f>
        <v>0</v>
      </c>
      <c r="AA41" s="64">
        <f>IF(Z41&lt;=1,0,Dashboard!$I$30-Y41)</f>
        <v>0</v>
      </c>
      <c r="AB41" s="64">
        <f t="shared" si="8"/>
        <v>0</v>
      </c>
      <c r="AC41" s="1">
        <f>Dashboard!$K$28</f>
        <v>2.6800000000000001E-2</v>
      </c>
      <c r="AD41" s="28">
        <f t="shared" si="9"/>
        <v>0</v>
      </c>
      <c r="AF41" s="2">
        <f t="shared" si="16"/>
        <v>188510.11798232564</v>
      </c>
      <c r="AG41" s="62">
        <f>(B41+Q41+Z41)/Dashboard!$I$25</f>
        <v>0.75404047192930257</v>
      </c>
      <c r="AH41" s="20">
        <f t="shared" si="17"/>
        <v>1.5E-3</v>
      </c>
      <c r="AI41" s="20">
        <f>IF($D$2="JA",Dashboard!$K$26-$AH$11+AH41,Dashboard!$K$26)</f>
        <v>2.5300000000000003E-2</v>
      </c>
      <c r="AJ41" s="27">
        <f>Tabel2[[#This Row],[Schuldrest]]*AI41/12</f>
        <v>397.44216541273659</v>
      </c>
      <c r="AK41" s="20">
        <f>IF($D$2="JA",Dashboard!$K$27-$AH$11+AH41,Dashboard!$K$27)</f>
        <v>2.5300000000000003E-2</v>
      </c>
      <c r="AL41" s="27">
        <f t="shared" si="0"/>
        <v>0</v>
      </c>
      <c r="AM41" s="20">
        <f>IF($D$2="JA",Dashboard!$K$28-$AH$11+AH41,Dashboard!$K$28)</f>
        <v>2.5300000000000003E-2</v>
      </c>
      <c r="AN41" s="27">
        <f t="shared" si="1"/>
        <v>0</v>
      </c>
      <c r="AO41" s="63">
        <f>Tabel2[[#This Row],[Aflossing]]+V41</f>
        <v>395.95956407668541</v>
      </c>
      <c r="AP41" s="63">
        <f t="shared" si="10"/>
        <v>397.44216541273659</v>
      </c>
      <c r="AQ41" s="2">
        <f t="shared" si="11"/>
        <v>421.58160633554621</v>
      </c>
      <c r="AU41" s="20"/>
      <c r="AV41" s="20"/>
    </row>
    <row r="42" spans="1:48">
      <c r="A42" s="71">
        <v>31</v>
      </c>
      <c r="B42" s="77">
        <f t="shared" si="12"/>
        <v>188114.15841824896</v>
      </c>
      <c r="C42" s="73">
        <f>B42/Dashboard!$I$25</f>
        <v>0.75245663367299587</v>
      </c>
      <c r="D42" s="74">
        <f t="shared" si="2"/>
        <v>1.5E-3</v>
      </c>
      <c r="E42" s="73">
        <f>IF($D$2="JA",Dashboard!$K$26-$D$11+D42,Dashboard!$K$26)</f>
        <v>2.5300000000000003E-2</v>
      </c>
      <c r="F42" s="72">
        <f t="shared" si="3"/>
        <v>396.60735066514161</v>
      </c>
      <c r="G42" s="72">
        <f t="shared" si="13"/>
        <v>396.79437882428039</v>
      </c>
      <c r="H42" s="72">
        <f>IFERROR(-PMT(E42^1/12,Dashboard!$I$30-A42,B42),0)</f>
        <v>793.401729489422</v>
      </c>
      <c r="I42" s="75">
        <f t="shared" si="4"/>
        <v>793.401729489422</v>
      </c>
      <c r="J42" s="76">
        <f t="shared" si="14"/>
        <v>188380.37919758484</v>
      </c>
      <c r="K42" s="76">
        <f>J42*Dashboard!$K$26/12</f>
        <v>420.71618020793949</v>
      </c>
      <c r="L42" s="76">
        <f t="shared" si="5"/>
        <v>388.36966236941566</v>
      </c>
      <c r="M42" s="76">
        <f>IF(H42=0,0,IFERROR(-PMT(Dashboard!$K$26^1/12,Dashboard!$I$30,Dashboard!$I$26),0))</f>
        <v>809.08584257735515</v>
      </c>
      <c r="P42" s="59">
        <v>31</v>
      </c>
      <c r="Q42" s="28">
        <f t="shared" si="6"/>
        <v>0</v>
      </c>
      <c r="R42" s="20">
        <f>Q42/Dashboard!$I$25</f>
        <v>0</v>
      </c>
      <c r="S42" s="20">
        <f t="shared" si="15"/>
        <v>0</v>
      </c>
      <c r="T42" s="20">
        <f>IF($D$2="JA",Dashboard!$K$27-$S$11+S42,Dashboard!$K$27)</f>
        <v>2.6800000000000001E-2</v>
      </c>
      <c r="U42" s="27">
        <f t="shared" si="7"/>
        <v>0</v>
      </c>
      <c r="V42" s="26">
        <f>IF(Q42&lt;=1,0,Dashboard!$I$27/Dashboard!$I$30)</f>
        <v>0</v>
      </c>
      <c r="W42" s="28">
        <f>Q42*Dashboard!$K$27/12</f>
        <v>0</v>
      </c>
      <c r="Y42" s="59">
        <v>31</v>
      </c>
      <c r="Z42" s="67">
        <f>Dashboard!$I$28</f>
        <v>0</v>
      </c>
      <c r="AA42" s="64">
        <f>IF(Z42&lt;=1,0,Dashboard!$I$30-Y42)</f>
        <v>0</v>
      </c>
      <c r="AB42" s="64">
        <f t="shared" si="8"/>
        <v>0</v>
      </c>
      <c r="AC42" s="1">
        <f>Dashboard!$K$28</f>
        <v>2.6800000000000001E-2</v>
      </c>
      <c r="AD42" s="28">
        <f t="shared" si="9"/>
        <v>0</v>
      </c>
      <c r="AF42" s="2">
        <f t="shared" si="16"/>
        <v>188114.15841824896</v>
      </c>
      <c r="AG42" s="62">
        <f>(B42+Q42+Z42)/Dashboard!$I$25</f>
        <v>0.75245663367299587</v>
      </c>
      <c r="AH42" s="20">
        <f t="shared" si="17"/>
        <v>1.5E-3</v>
      </c>
      <c r="AI42" s="20">
        <f>IF($D$2="JA",Dashboard!$K$26-$AH$11+AH42,Dashboard!$K$26)</f>
        <v>2.5300000000000003E-2</v>
      </c>
      <c r="AJ42" s="27">
        <f>Tabel2[[#This Row],[Schuldrest]]*AI42/12</f>
        <v>396.60735066514161</v>
      </c>
      <c r="AK42" s="20">
        <f>IF($D$2="JA",Dashboard!$K$27-$AH$11+AH42,Dashboard!$K$27)</f>
        <v>2.5300000000000003E-2</v>
      </c>
      <c r="AL42" s="27">
        <f t="shared" si="0"/>
        <v>0</v>
      </c>
      <c r="AM42" s="20">
        <f>IF($D$2="JA",Dashboard!$K$28-$AH$11+AH42,Dashboard!$K$28)</f>
        <v>2.5300000000000003E-2</v>
      </c>
      <c r="AN42" s="27">
        <f t="shared" si="1"/>
        <v>0</v>
      </c>
      <c r="AO42" s="63">
        <f>Tabel2[[#This Row],[Aflossing]]+V42</f>
        <v>396.79437882428039</v>
      </c>
      <c r="AP42" s="63">
        <f t="shared" si="10"/>
        <v>396.60735066514161</v>
      </c>
      <c r="AQ42" s="2">
        <f t="shared" si="11"/>
        <v>420.71618020793949</v>
      </c>
      <c r="AU42" s="20"/>
      <c r="AV42" s="20"/>
    </row>
    <row r="43" spans="1:48">
      <c r="A43" s="71">
        <v>32</v>
      </c>
      <c r="B43" s="77">
        <f t="shared" si="12"/>
        <v>187717.36403942469</v>
      </c>
      <c r="C43" s="73">
        <f>B43/Dashboard!$I$25</f>
        <v>0.75086945615769873</v>
      </c>
      <c r="D43" s="74">
        <f t="shared" si="2"/>
        <v>1.5E-3</v>
      </c>
      <c r="E43" s="73">
        <f>IF($D$2="JA",Dashboard!$K$26-$D$11+D43,Dashboard!$K$26)</f>
        <v>2.5300000000000003E-2</v>
      </c>
      <c r="F43" s="72">
        <f t="shared" si="3"/>
        <v>395.77077584978707</v>
      </c>
      <c r="G43" s="72">
        <f t="shared" si="13"/>
        <v>397.63095363963504</v>
      </c>
      <c r="H43" s="72">
        <f>IFERROR(-PMT(E43^1/12,Dashboard!$I$30-A43,B43),0)</f>
        <v>793.40172948942211</v>
      </c>
      <c r="I43" s="75">
        <f t="shared" si="4"/>
        <v>793.40172948942211</v>
      </c>
      <c r="J43" s="76">
        <f t="shared" si="14"/>
        <v>187992.00953521542</v>
      </c>
      <c r="K43" s="76">
        <f>J43*Dashboard!$K$26/12</f>
        <v>419.84882129531439</v>
      </c>
      <c r="L43" s="76">
        <f t="shared" si="5"/>
        <v>389.23702128204076</v>
      </c>
      <c r="M43" s="76">
        <f>IF(H43=0,0,IFERROR(-PMT(Dashboard!$K$26^1/12,Dashboard!$I$30,Dashboard!$I$26),0))</f>
        <v>809.08584257735515</v>
      </c>
      <c r="P43" s="59">
        <v>32</v>
      </c>
      <c r="Q43" s="28">
        <f t="shared" si="6"/>
        <v>0</v>
      </c>
      <c r="R43" s="20">
        <f>Q43/Dashboard!$I$25</f>
        <v>0</v>
      </c>
      <c r="S43" s="20">
        <f t="shared" si="15"/>
        <v>0</v>
      </c>
      <c r="T43" s="20">
        <f>IF($D$2="JA",Dashboard!$K$27-$S$11+S43,Dashboard!$K$27)</f>
        <v>2.6800000000000001E-2</v>
      </c>
      <c r="U43" s="27">
        <f t="shared" si="7"/>
        <v>0</v>
      </c>
      <c r="V43" s="26">
        <f>IF(Q43&lt;=1,0,Dashboard!$I$27/Dashboard!$I$30)</f>
        <v>0</v>
      </c>
      <c r="W43" s="28">
        <f>Q43*Dashboard!$K$27/12</f>
        <v>0</v>
      </c>
      <c r="Y43" s="59">
        <v>32</v>
      </c>
      <c r="Z43" s="67">
        <f>Dashboard!$I$28</f>
        <v>0</v>
      </c>
      <c r="AA43" s="64">
        <f>IF(Z43&lt;=1,0,Dashboard!$I$30-Y43)</f>
        <v>0</v>
      </c>
      <c r="AB43" s="64">
        <f t="shared" si="8"/>
        <v>0</v>
      </c>
      <c r="AC43" s="1">
        <f>Dashboard!$K$28</f>
        <v>2.6800000000000001E-2</v>
      </c>
      <c r="AD43" s="28">
        <f t="shared" si="9"/>
        <v>0</v>
      </c>
      <c r="AF43" s="2">
        <f t="shared" si="16"/>
        <v>187717.36403942469</v>
      </c>
      <c r="AG43" s="62">
        <f>(B43+Q43+Z43)/Dashboard!$I$25</f>
        <v>0.75086945615769873</v>
      </c>
      <c r="AH43" s="20">
        <f t="shared" si="17"/>
        <v>1.5E-3</v>
      </c>
      <c r="AI43" s="20">
        <f>IF($D$2="JA",Dashboard!$K$26-$AH$11+AH43,Dashboard!$K$26)</f>
        <v>2.5300000000000003E-2</v>
      </c>
      <c r="AJ43" s="27">
        <f>Tabel2[[#This Row],[Schuldrest]]*AI43/12</f>
        <v>395.77077584978707</v>
      </c>
      <c r="AK43" s="20">
        <f>IF($D$2="JA",Dashboard!$K$27-$AH$11+AH43,Dashboard!$K$27)</f>
        <v>2.5300000000000003E-2</v>
      </c>
      <c r="AL43" s="27">
        <f t="shared" si="0"/>
        <v>0</v>
      </c>
      <c r="AM43" s="20">
        <f>IF($D$2="JA",Dashboard!$K$28-$AH$11+AH43,Dashboard!$K$28)</f>
        <v>2.5300000000000003E-2</v>
      </c>
      <c r="AN43" s="27">
        <f t="shared" si="1"/>
        <v>0</v>
      </c>
      <c r="AO43" s="63">
        <f>Tabel2[[#This Row],[Aflossing]]+V43</f>
        <v>397.63095363963504</v>
      </c>
      <c r="AP43" s="63">
        <f t="shared" si="10"/>
        <v>395.77077584978707</v>
      </c>
      <c r="AQ43" s="2">
        <f t="shared" si="11"/>
        <v>419.84882129531439</v>
      </c>
      <c r="AU43" s="20"/>
      <c r="AV43" s="20"/>
    </row>
    <row r="44" spans="1:48">
      <c r="A44" s="71">
        <v>33</v>
      </c>
      <c r="B44" s="77">
        <f t="shared" si="12"/>
        <v>187319.73308578506</v>
      </c>
      <c r="C44" s="73">
        <f>B44/Dashboard!$I$25</f>
        <v>0.74927893234314025</v>
      </c>
      <c r="D44" s="74">
        <f t="shared" si="2"/>
        <v>1.5E-3</v>
      </c>
      <c r="E44" s="73">
        <f>IF($D$2="JA",Dashboard!$K$26-$D$11+D44,Dashboard!$K$26)</f>
        <v>2.5300000000000003E-2</v>
      </c>
      <c r="F44" s="72">
        <f t="shared" si="3"/>
        <v>394.93243725586353</v>
      </c>
      <c r="G44" s="72">
        <f t="shared" si="13"/>
        <v>398.46929223355858</v>
      </c>
      <c r="H44" s="72">
        <f>IFERROR(-PMT(E44^1/12,Dashboard!$I$30-A44,B44),0)</f>
        <v>793.40172948942211</v>
      </c>
      <c r="I44" s="75">
        <f t="shared" si="4"/>
        <v>793.40172948942211</v>
      </c>
      <c r="J44" s="76">
        <f t="shared" si="14"/>
        <v>187602.77251393336</v>
      </c>
      <c r="K44" s="76">
        <f>J44*Dashboard!$K$26/12</f>
        <v>418.9795252811179</v>
      </c>
      <c r="L44" s="76">
        <f t="shared" si="5"/>
        <v>390.10631729623725</v>
      </c>
      <c r="M44" s="76">
        <f>IF(H44=0,0,IFERROR(-PMT(Dashboard!$K$26^1/12,Dashboard!$I$30,Dashboard!$I$26),0))</f>
        <v>809.08584257735515</v>
      </c>
      <c r="P44" s="59">
        <v>33</v>
      </c>
      <c r="Q44" s="28">
        <f t="shared" si="6"/>
        <v>0</v>
      </c>
      <c r="R44" s="20">
        <f>Q44/Dashboard!$I$25</f>
        <v>0</v>
      </c>
      <c r="S44" s="20">
        <f t="shared" si="15"/>
        <v>0</v>
      </c>
      <c r="T44" s="20">
        <f>IF($D$2="JA",Dashboard!$K$27-$S$11+S44,Dashboard!$K$27)</f>
        <v>2.6800000000000001E-2</v>
      </c>
      <c r="U44" s="27">
        <f t="shared" si="7"/>
        <v>0</v>
      </c>
      <c r="V44" s="26">
        <f>IF(Q44&lt;=1,0,Dashboard!$I$27/Dashboard!$I$30)</f>
        <v>0</v>
      </c>
      <c r="W44" s="28">
        <f>Q44*Dashboard!$K$27/12</f>
        <v>0</v>
      </c>
      <c r="Y44" s="59">
        <v>33</v>
      </c>
      <c r="Z44" s="67">
        <f>Dashboard!$I$28</f>
        <v>0</v>
      </c>
      <c r="AA44" s="64">
        <f>IF(Z44&lt;=1,0,Dashboard!$I$30-Y44)</f>
        <v>0</v>
      </c>
      <c r="AB44" s="64">
        <f t="shared" si="8"/>
        <v>0</v>
      </c>
      <c r="AC44" s="1">
        <f>Dashboard!$K$28</f>
        <v>2.6800000000000001E-2</v>
      </c>
      <c r="AD44" s="28">
        <f t="shared" si="9"/>
        <v>0</v>
      </c>
      <c r="AF44" s="2">
        <f t="shared" si="16"/>
        <v>187319.73308578506</v>
      </c>
      <c r="AG44" s="62">
        <f>(B44+Q44+Z44)/Dashboard!$I$25</f>
        <v>0.74927893234314025</v>
      </c>
      <c r="AH44" s="20">
        <f t="shared" si="17"/>
        <v>1.5E-3</v>
      </c>
      <c r="AI44" s="20">
        <f>IF($D$2="JA",Dashboard!$K$26-$AH$11+AH44,Dashboard!$K$26)</f>
        <v>2.5300000000000003E-2</v>
      </c>
      <c r="AJ44" s="27">
        <f>Tabel2[[#This Row],[Schuldrest]]*AI44/12</f>
        <v>394.93243725586353</v>
      </c>
      <c r="AK44" s="20">
        <f>IF($D$2="JA",Dashboard!$K$27-$AH$11+AH44,Dashboard!$K$27)</f>
        <v>2.5300000000000003E-2</v>
      </c>
      <c r="AL44" s="27">
        <f t="shared" si="0"/>
        <v>0</v>
      </c>
      <c r="AM44" s="20">
        <f>IF($D$2="JA",Dashboard!$K$28-$AH$11+AH44,Dashboard!$K$28)</f>
        <v>2.5300000000000003E-2</v>
      </c>
      <c r="AN44" s="27">
        <f t="shared" si="1"/>
        <v>0</v>
      </c>
      <c r="AO44" s="63">
        <f>Tabel2[[#This Row],[Aflossing]]+V44</f>
        <v>398.46929223355858</v>
      </c>
      <c r="AP44" s="63">
        <f t="shared" si="10"/>
        <v>394.93243725586353</v>
      </c>
      <c r="AQ44" s="2">
        <f t="shared" si="11"/>
        <v>418.9795252811179</v>
      </c>
      <c r="AU44" s="20"/>
      <c r="AV44" s="20"/>
    </row>
    <row r="45" spans="1:48">
      <c r="A45" s="71">
        <v>34</v>
      </c>
      <c r="B45" s="77">
        <f t="shared" si="12"/>
        <v>186921.26379355151</v>
      </c>
      <c r="C45" s="73">
        <f>B45/Dashboard!$I$25</f>
        <v>0.74768505517420603</v>
      </c>
      <c r="D45" s="74">
        <f t="shared" si="2"/>
        <v>1.5E-3</v>
      </c>
      <c r="E45" s="73">
        <f>IF($D$2="JA",Dashboard!$K$26-$D$11+D45,Dashboard!$K$26)</f>
        <v>2.5300000000000003E-2</v>
      </c>
      <c r="F45" s="72">
        <f t="shared" si="3"/>
        <v>394.0923311647378</v>
      </c>
      <c r="G45" s="72">
        <f t="shared" si="13"/>
        <v>399.3093983246842</v>
      </c>
      <c r="H45" s="72">
        <f>IFERROR(-PMT(E45^1/12,Dashboard!$I$30-A45,B45),0)</f>
        <v>793.401729489422</v>
      </c>
      <c r="I45" s="75">
        <f t="shared" si="4"/>
        <v>793.401729489422</v>
      </c>
      <c r="J45" s="76">
        <f t="shared" si="14"/>
        <v>187212.66619663712</v>
      </c>
      <c r="K45" s="76">
        <f>J45*Dashboard!$K$26/12</f>
        <v>418.10828783915622</v>
      </c>
      <c r="L45" s="76">
        <f t="shared" si="5"/>
        <v>390.97755473819893</v>
      </c>
      <c r="M45" s="76">
        <f>IF(H45=0,0,IFERROR(-PMT(Dashboard!$K$26^1/12,Dashboard!$I$30,Dashboard!$I$26),0))</f>
        <v>809.08584257735515</v>
      </c>
      <c r="P45" s="59">
        <v>34</v>
      </c>
      <c r="Q45" s="28">
        <f t="shared" si="6"/>
        <v>0</v>
      </c>
      <c r="R45" s="20">
        <f>Q45/Dashboard!$I$25</f>
        <v>0</v>
      </c>
      <c r="S45" s="20">
        <f t="shared" si="15"/>
        <v>0</v>
      </c>
      <c r="T45" s="20">
        <f>IF($D$2="JA",Dashboard!$K$27-$S$11+S45,Dashboard!$K$27)</f>
        <v>2.6800000000000001E-2</v>
      </c>
      <c r="U45" s="27">
        <f t="shared" si="7"/>
        <v>0</v>
      </c>
      <c r="V45" s="26">
        <f>IF(Q45&lt;=1,0,Dashboard!$I$27/Dashboard!$I$30)</f>
        <v>0</v>
      </c>
      <c r="W45" s="28">
        <f>Q45*Dashboard!$K$27/12</f>
        <v>0</v>
      </c>
      <c r="Y45" s="59">
        <v>34</v>
      </c>
      <c r="Z45" s="67">
        <f>Dashboard!$I$28</f>
        <v>0</v>
      </c>
      <c r="AA45" s="64">
        <f>IF(Z45&lt;=1,0,Dashboard!$I$30-Y45)</f>
        <v>0</v>
      </c>
      <c r="AB45" s="64">
        <f t="shared" si="8"/>
        <v>0</v>
      </c>
      <c r="AC45" s="1">
        <f>Dashboard!$K$28</f>
        <v>2.6800000000000001E-2</v>
      </c>
      <c r="AD45" s="28">
        <f t="shared" si="9"/>
        <v>0</v>
      </c>
      <c r="AF45" s="2">
        <f t="shared" si="16"/>
        <v>186921.26379355151</v>
      </c>
      <c r="AG45" s="62">
        <f>(B45+Q45+Z45)/Dashboard!$I$25</f>
        <v>0.74768505517420603</v>
      </c>
      <c r="AH45" s="20">
        <f t="shared" si="17"/>
        <v>1.5E-3</v>
      </c>
      <c r="AI45" s="20">
        <f>IF($D$2="JA",Dashboard!$K$26-$AH$11+AH45,Dashboard!$K$26)</f>
        <v>2.5300000000000003E-2</v>
      </c>
      <c r="AJ45" s="27">
        <f>Tabel2[[#This Row],[Schuldrest]]*AI45/12</f>
        <v>394.0923311647378</v>
      </c>
      <c r="AK45" s="20">
        <f>IF($D$2="JA",Dashboard!$K$27-$AH$11+AH45,Dashboard!$K$27)</f>
        <v>2.5300000000000003E-2</v>
      </c>
      <c r="AL45" s="27">
        <f t="shared" si="0"/>
        <v>0</v>
      </c>
      <c r="AM45" s="20">
        <f>IF($D$2="JA",Dashboard!$K$28-$AH$11+AH45,Dashboard!$K$28)</f>
        <v>2.5300000000000003E-2</v>
      </c>
      <c r="AN45" s="27">
        <f t="shared" si="1"/>
        <v>0</v>
      </c>
      <c r="AO45" s="63">
        <f>Tabel2[[#This Row],[Aflossing]]+V45</f>
        <v>399.3093983246842</v>
      </c>
      <c r="AP45" s="63">
        <f t="shared" si="10"/>
        <v>394.0923311647378</v>
      </c>
      <c r="AQ45" s="2">
        <f t="shared" si="11"/>
        <v>418.10828783915622</v>
      </c>
      <c r="AU45" s="20"/>
      <c r="AV45" s="20"/>
    </row>
    <row r="46" spans="1:48">
      <c r="A46" s="71">
        <v>35</v>
      </c>
      <c r="B46" s="77">
        <f t="shared" si="12"/>
        <v>186521.95439522681</v>
      </c>
      <c r="C46" s="73">
        <f>B46/Dashboard!$I$25</f>
        <v>0.74608781758090725</v>
      </c>
      <c r="D46" s="74">
        <f t="shared" si="2"/>
        <v>1.5E-3</v>
      </c>
      <c r="E46" s="73">
        <f>IF($D$2="JA",Dashboard!$K$26-$D$11+D46,Dashboard!$K$26)</f>
        <v>2.5300000000000003E-2</v>
      </c>
      <c r="F46" s="72">
        <f t="shared" si="3"/>
        <v>393.25045384993655</v>
      </c>
      <c r="G46" s="72">
        <f t="shared" si="13"/>
        <v>400.15127563948556</v>
      </c>
      <c r="H46" s="72">
        <f>IFERROR(-PMT(E46^1/12,Dashboard!$I$30-A46,B46),0)</f>
        <v>793.40172948942211</v>
      </c>
      <c r="I46" s="75">
        <f t="shared" si="4"/>
        <v>793.40172948942211</v>
      </c>
      <c r="J46" s="76">
        <f t="shared" si="14"/>
        <v>186821.68864189892</v>
      </c>
      <c r="K46" s="76">
        <f>J46*Dashboard!$K$26/12</f>
        <v>417.23510463357428</v>
      </c>
      <c r="L46" s="76">
        <f t="shared" si="5"/>
        <v>391.85073794378087</v>
      </c>
      <c r="M46" s="76">
        <f>IF(H46=0,0,IFERROR(-PMT(Dashboard!$K$26^1/12,Dashboard!$I$30,Dashboard!$I$26),0))</f>
        <v>809.08584257735515</v>
      </c>
      <c r="P46" s="59">
        <v>35</v>
      </c>
      <c r="Q46" s="28">
        <f t="shared" si="6"/>
        <v>0</v>
      </c>
      <c r="R46" s="20">
        <f>Q46/Dashboard!$I$25</f>
        <v>0</v>
      </c>
      <c r="S46" s="20">
        <f t="shared" si="15"/>
        <v>0</v>
      </c>
      <c r="T46" s="20">
        <f>IF($D$2="JA",Dashboard!$K$27-$S$11+S46,Dashboard!$K$27)</f>
        <v>2.6800000000000001E-2</v>
      </c>
      <c r="U46" s="27">
        <f t="shared" si="7"/>
        <v>0</v>
      </c>
      <c r="V46" s="26">
        <f>IF(Q46&lt;=1,0,Dashboard!$I$27/Dashboard!$I$30)</f>
        <v>0</v>
      </c>
      <c r="W46" s="28">
        <f>Q46*Dashboard!$K$27/12</f>
        <v>0</v>
      </c>
      <c r="Y46" s="59">
        <v>35</v>
      </c>
      <c r="Z46" s="67">
        <f>Dashboard!$I$28</f>
        <v>0</v>
      </c>
      <c r="AA46" s="64">
        <f>IF(Z46&lt;=1,0,Dashboard!$I$30-Y46)</f>
        <v>0</v>
      </c>
      <c r="AB46" s="64">
        <f t="shared" si="8"/>
        <v>0</v>
      </c>
      <c r="AC46" s="1">
        <f>Dashboard!$K$28</f>
        <v>2.6800000000000001E-2</v>
      </c>
      <c r="AD46" s="28">
        <f t="shared" si="9"/>
        <v>0</v>
      </c>
      <c r="AF46" s="2">
        <f t="shared" si="16"/>
        <v>186521.95439522681</v>
      </c>
      <c r="AG46" s="62">
        <f>(B46+Q46+Z46)/Dashboard!$I$25</f>
        <v>0.74608781758090725</v>
      </c>
      <c r="AH46" s="20">
        <f t="shared" si="17"/>
        <v>1.5E-3</v>
      </c>
      <c r="AI46" s="20">
        <f>IF($D$2="JA",Dashboard!$K$26-$AH$11+AH46,Dashboard!$K$26)</f>
        <v>2.5300000000000003E-2</v>
      </c>
      <c r="AJ46" s="27">
        <f>Tabel2[[#This Row],[Schuldrest]]*AI46/12</f>
        <v>393.25045384993655</v>
      </c>
      <c r="AK46" s="20">
        <f>IF($D$2="JA",Dashboard!$K$27-$AH$11+AH46,Dashboard!$K$27)</f>
        <v>2.5300000000000003E-2</v>
      </c>
      <c r="AL46" s="27">
        <f t="shared" si="0"/>
        <v>0</v>
      </c>
      <c r="AM46" s="20">
        <f>IF($D$2="JA",Dashboard!$K$28-$AH$11+AH46,Dashboard!$K$28)</f>
        <v>2.5300000000000003E-2</v>
      </c>
      <c r="AN46" s="27">
        <f t="shared" si="1"/>
        <v>0</v>
      </c>
      <c r="AO46" s="63">
        <f>Tabel2[[#This Row],[Aflossing]]+V46</f>
        <v>400.15127563948556</v>
      </c>
      <c r="AP46" s="63">
        <f t="shared" si="10"/>
        <v>393.25045384993655</v>
      </c>
      <c r="AQ46" s="2">
        <f t="shared" si="11"/>
        <v>417.23510463357428</v>
      </c>
      <c r="AU46" s="20"/>
      <c r="AV46" s="20"/>
    </row>
    <row r="47" spans="1:48">
      <c r="A47" s="71">
        <v>36</v>
      </c>
      <c r="B47" s="77">
        <f t="shared" si="12"/>
        <v>186121.80311958733</v>
      </c>
      <c r="C47" s="73">
        <f>B47/Dashboard!$I$25</f>
        <v>0.74448721247834937</v>
      </c>
      <c r="D47" s="74">
        <f t="shared" si="2"/>
        <v>1.5E-3</v>
      </c>
      <c r="E47" s="73">
        <f>IF($D$2="JA",Dashboard!$K$26-$D$11+D47,Dashboard!$K$26)</f>
        <v>2.5300000000000003E-2</v>
      </c>
      <c r="F47" s="72">
        <f t="shared" si="3"/>
        <v>392.40680157713001</v>
      </c>
      <c r="G47" s="72">
        <f t="shared" si="13"/>
        <v>400.9949279122921</v>
      </c>
      <c r="H47" s="72">
        <f>IFERROR(-PMT(E47^1/12,Dashboard!$I$30-A47,B47),0)</f>
        <v>793.40172948942211</v>
      </c>
      <c r="I47" s="75">
        <f t="shared" si="4"/>
        <v>793.40172948942211</v>
      </c>
      <c r="J47" s="76">
        <f t="shared" si="14"/>
        <v>186429.83790395514</v>
      </c>
      <c r="K47" s="76">
        <f>J47*Dashboard!$K$26/12</f>
        <v>416.35997131883317</v>
      </c>
      <c r="L47" s="76">
        <f t="shared" si="5"/>
        <v>392.72587125852198</v>
      </c>
      <c r="M47" s="76">
        <f>IF(H47=0,0,IFERROR(-PMT(Dashboard!$K$26^1/12,Dashboard!$I$30,Dashboard!$I$26),0))</f>
        <v>809.08584257735515</v>
      </c>
      <c r="P47" s="59">
        <v>36</v>
      </c>
      <c r="Q47" s="28">
        <f t="shared" si="6"/>
        <v>0</v>
      </c>
      <c r="R47" s="20">
        <f>Q47/Dashboard!$I$25</f>
        <v>0</v>
      </c>
      <c r="S47" s="20">
        <f t="shared" si="15"/>
        <v>0</v>
      </c>
      <c r="T47" s="20">
        <f>IF($D$2="JA",Dashboard!$K$27-$S$11+S47,Dashboard!$K$27)</f>
        <v>2.6800000000000001E-2</v>
      </c>
      <c r="U47" s="27">
        <f t="shared" si="7"/>
        <v>0</v>
      </c>
      <c r="V47" s="26">
        <f>IF(Q47&lt;=1,0,Dashboard!$I$27/Dashboard!$I$30)</f>
        <v>0</v>
      </c>
      <c r="W47" s="28">
        <f>Q47*Dashboard!$K$27/12</f>
        <v>0</v>
      </c>
      <c r="Y47" s="59">
        <v>36</v>
      </c>
      <c r="Z47" s="67">
        <f>Dashboard!$I$28</f>
        <v>0</v>
      </c>
      <c r="AA47" s="64">
        <f>IF(Z47&lt;=1,0,Dashboard!$I$30-Y47)</f>
        <v>0</v>
      </c>
      <c r="AB47" s="64">
        <f t="shared" si="8"/>
        <v>0</v>
      </c>
      <c r="AC47" s="1">
        <f>Dashboard!$K$28</f>
        <v>2.6800000000000001E-2</v>
      </c>
      <c r="AD47" s="28">
        <f t="shared" si="9"/>
        <v>0</v>
      </c>
      <c r="AF47" s="2">
        <f t="shared" si="16"/>
        <v>186121.80311958733</v>
      </c>
      <c r="AG47" s="62">
        <f>(B47+Q47+Z47)/Dashboard!$I$25</f>
        <v>0.74448721247834937</v>
      </c>
      <c r="AH47" s="20">
        <f t="shared" si="17"/>
        <v>1.5E-3</v>
      </c>
      <c r="AI47" s="20">
        <f>IF($D$2="JA",Dashboard!$K$26-$AH$11+AH47,Dashboard!$K$26)</f>
        <v>2.5300000000000003E-2</v>
      </c>
      <c r="AJ47" s="27">
        <f>Tabel2[[#This Row],[Schuldrest]]*AI47/12</f>
        <v>392.40680157713001</v>
      </c>
      <c r="AK47" s="20">
        <f>IF($D$2="JA",Dashboard!$K$27-$AH$11+AH47,Dashboard!$K$27)</f>
        <v>2.5300000000000003E-2</v>
      </c>
      <c r="AL47" s="27">
        <f t="shared" si="0"/>
        <v>0</v>
      </c>
      <c r="AM47" s="20">
        <f>IF($D$2="JA",Dashboard!$K$28-$AH$11+AH47,Dashboard!$K$28)</f>
        <v>2.5300000000000003E-2</v>
      </c>
      <c r="AN47" s="27">
        <f t="shared" si="1"/>
        <v>0</v>
      </c>
      <c r="AO47" s="63">
        <f>Tabel2[[#This Row],[Aflossing]]+V47</f>
        <v>400.9949279122921</v>
      </c>
      <c r="AP47" s="63">
        <f t="shared" si="10"/>
        <v>392.40680157713001</v>
      </c>
      <c r="AQ47" s="2">
        <f t="shared" si="11"/>
        <v>416.35997131883317</v>
      </c>
      <c r="AU47" s="20"/>
      <c r="AV47" s="20"/>
    </row>
    <row r="48" spans="1:48">
      <c r="A48" s="71">
        <v>37</v>
      </c>
      <c r="B48" s="77">
        <f t="shared" si="12"/>
        <v>185720.80819167505</v>
      </c>
      <c r="C48" s="73">
        <f>B48/Dashboard!$I$25</f>
        <v>0.74288323276670021</v>
      </c>
      <c r="D48" s="74">
        <f t="shared" si="2"/>
        <v>1.5E-3</v>
      </c>
      <c r="E48" s="73">
        <f>IF($D$2="JA",Dashboard!$K$26-$D$11+D48,Dashboard!$K$26)</f>
        <v>2.5300000000000003E-2</v>
      </c>
      <c r="F48" s="72">
        <f t="shared" si="3"/>
        <v>391.56137060411493</v>
      </c>
      <c r="G48" s="72">
        <f t="shared" si="13"/>
        <v>401.8403588853073</v>
      </c>
      <c r="H48" s="72">
        <f>IFERROR(-PMT(E48^1/12,Dashboard!$I$30-A48,B48),0)</f>
        <v>793.40172948942222</v>
      </c>
      <c r="I48" s="75">
        <f t="shared" si="4"/>
        <v>793.40172948942222</v>
      </c>
      <c r="J48" s="76">
        <f t="shared" si="14"/>
        <v>186037.1120326966</v>
      </c>
      <c r="K48" s="76">
        <f>J48*Dashboard!$K$26/12</f>
        <v>415.48288353968911</v>
      </c>
      <c r="L48" s="76">
        <f t="shared" si="5"/>
        <v>393.60295903766604</v>
      </c>
      <c r="M48" s="76">
        <f>IF(H48=0,0,IFERROR(-PMT(Dashboard!$K$26^1/12,Dashboard!$I$30,Dashboard!$I$26),0))</f>
        <v>809.08584257735515</v>
      </c>
      <c r="P48" s="59">
        <v>37</v>
      </c>
      <c r="Q48" s="28">
        <f t="shared" si="6"/>
        <v>0</v>
      </c>
      <c r="R48" s="20">
        <f>Q48/Dashboard!$I$25</f>
        <v>0</v>
      </c>
      <c r="S48" s="20">
        <f t="shared" si="15"/>
        <v>0</v>
      </c>
      <c r="T48" s="20">
        <f>IF($D$2="JA",Dashboard!$K$27-$S$11+S48,Dashboard!$K$27)</f>
        <v>2.6800000000000001E-2</v>
      </c>
      <c r="U48" s="27">
        <f t="shared" si="7"/>
        <v>0</v>
      </c>
      <c r="V48" s="26">
        <f>IF(Q48&lt;=1,0,Dashboard!$I$27/Dashboard!$I$30)</f>
        <v>0</v>
      </c>
      <c r="W48" s="28">
        <f>Q48*Dashboard!$K$27/12</f>
        <v>0</v>
      </c>
      <c r="Y48" s="59">
        <v>37</v>
      </c>
      <c r="Z48" s="67">
        <f>Dashboard!$I$28</f>
        <v>0</v>
      </c>
      <c r="AA48" s="64">
        <f>IF(Z48&lt;=1,0,Dashboard!$I$30-Y48)</f>
        <v>0</v>
      </c>
      <c r="AB48" s="64">
        <f t="shared" si="8"/>
        <v>0</v>
      </c>
      <c r="AC48" s="1">
        <f>Dashboard!$K$28</f>
        <v>2.6800000000000001E-2</v>
      </c>
      <c r="AD48" s="28">
        <f t="shared" si="9"/>
        <v>0</v>
      </c>
      <c r="AF48" s="2">
        <f t="shared" si="16"/>
        <v>185720.80819167505</v>
      </c>
      <c r="AG48" s="62">
        <f>(B48+Q48+Z48)/Dashboard!$I$25</f>
        <v>0.74288323276670021</v>
      </c>
      <c r="AH48" s="20">
        <f t="shared" si="17"/>
        <v>1.5E-3</v>
      </c>
      <c r="AI48" s="20">
        <f>IF($D$2="JA",Dashboard!$K$26-$AH$11+AH48,Dashboard!$K$26)</f>
        <v>2.5300000000000003E-2</v>
      </c>
      <c r="AJ48" s="27">
        <f>Tabel2[[#This Row],[Schuldrest]]*AI48/12</f>
        <v>391.56137060411493</v>
      </c>
      <c r="AK48" s="20">
        <f>IF($D$2="JA",Dashboard!$K$27-$AH$11+AH48,Dashboard!$K$27)</f>
        <v>2.5300000000000003E-2</v>
      </c>
      <c r="AL48" s="27">
        <f t="shared" si="0"/>
        <v>0</v>
      </c>
      <c r="AM48" s="20">
        <f>IF($D$2="JA",Dashboard!$K$28-$AH$11+AH48,Dashboard!$K$28)</f>
        <v>2.5300000000000003E-2</v>
      </c>
      <c r="AN48" s="27">
        <f t="shared" si="1"/>
        <v>0</v>
      </c>
      <c r="AO48" s="63">
        <f>Tabel2[[#This Row],[Aflossing]]+V48</f>
        <v>401.8403588853073</v>
      </c>
      <c r="AP48" s="63">
        <f t="shared" si="10"/>
        <v>391.56137060411493</v>
      </c>
      <c r="AQ48" s="2">
        <f t="shared" si="11"/>
        <v>415.48288353968911</v>
      </c>
      <c r="AU48" s="20"/>
      <c r="AV48" s="20"/>
    </row>
    <row r="49" spans="1:48">
      <c r="A49" s="71">
        <v>38</v>
      </c>
      <c r="B49" s="77">
        <f t="shared" si="12"/>
        <v>185318.96783278976</v>
      </c>
      <c r="C49" s="73">
        <f>B49/Dashboard!$I$25</f>
        <v>0.74127587133115902</v>
      </c>
      <c r="D49" s="74">
        <f t="shared" si="2"/>
        <v>1.5E-3</v>
      </c>
      <c r="E49" s="73">
        <f>IF($D$2="JA",Dashboard!$K$26-$D$11+D49,Dashboard!$K$26)</f>
        <v>2.5300000000000003E-2</v>
      </c>
      <c r="F49" s="72">
        <f t="shared" si="3"/>
        <v>390.7141571807984</v>
      </c>
      <c r="G49" s="72">
        <f t="shared" si="13"/>
        <v>402.68757230862383</v>
      </c>
      <c r="H49" s="72">
        <f>IFERROR(-PMT(E49^1/12,Dashboard!$I$30-A49,B49),0)</f>
        <v>793.40172948942222</v>
      </c>
      <c r="I49" s="75">
        <f t="shared" si="4"/>
        <v>793.40172948942222</v>
      </c>
      <c r="J49" s="76">
        <f t="shared" si="14"/>
        <v>185643.50907365893</v>
      </c>
      <c r="K49" s="76">
        <f>J49*Dashboard!$K$26/12</f>
        <v>414.6038369311716</v>
      </c>
      <c r="L49" s="76">
        <f t="shared" si="5"/>
        <v>394.48200564618355</v>
      </c>
      <c r="M49" s="76">
        <f>IF(H49=0,0,IFERROR(-PMT(Dashboard!$K$26^1/12,Dashboard!$I$30,Dashboard!$I$26),0))</f>
        <v>809.08584257735515</v>
      </c>
      <c r="P49" s="59">
        <v>38</v>
      </c>
      <c r="Q49" s="28">
        <f t="shared" si="6"/>
        <v>0</v>
      </c>
      <c r="R49" s="20">
        <f>Q49/Dashboard!$I$25</f>
        <v>0</v>
      </c>
      <c r="S49" s="20">
        <f t="shared" si="15"/>
        <v>0</v>
      </c>
      <c r="T49" s="20">
        <f>IF($D$2="JA",Dashboard!$K$27-$S$11+S49,Dashboard!$K$27)</f>
        <v>2.6800000000000001E-2</v>
      </c>
      <c r="U49" s="27">
        <f t="shared" si="7"/>
        <v>0</v>
      </c>
      <c r="V49" s="26">
        <f>IF(Q49&lt;=1,0,Dashboard!$I$27/Dashboard!$I$30)</f>
        <v>0</v>
      </c>
      <c r="W49" s="28">
        <f>Q49*Dashboard!$K$27/12</f>
        <v>0</v>
      </c>
      <c r="Y49" s="59">
        <v>38</v>
      </c>
      <c r="Z49" s="67">
        <f>Dashboard!$I$28</f>
        <v>0</v>
      </c>
      <c r="AA49" s="64">
        <f>IF(Z49&lt;=1,0,Dashboard!$I$30-Y49)</f>
        <v>0</v>
      </c>
      <c r="AB49" s="64">
        <f t="shared" si="8"/>
        <v>0</v>
      </c>
      <c r="AC49" s="1">
        <f>Dashboard!$K$28</f>
        <v>2.6800000000000001E-2</v>
      </c>
      <c r="AD49" s="28">
        <f t="shared" si="9"/>
        <v>0</v>
      </c>
      <c r="AF49" s="2">
        <f t="shared" si="16"/>
        <v>185318.96783278976</v>
      </c>
      <c r="AG49" s="62">
        <f>(B49+Q49+Z49)/Dashboard!$I$25</f>
        <v>0.74127587133115902</v>
      </c>
      <c r="AH49" s="20">
        <f t="shared" si="17"/>
        <v>1.5E-3</v>
      </c>
      <c r="AI49" s="20">
        <f>IF($D$2="JA",Dashboard!$K$26-$AH$11+AH49,Dashboard!$K$26)</f>
        <v>2.5300000000000003E-2</v>
      </c>
      <c r="AJ49" s="27">
        <f>Tabel2[[#This Row],[Schuldrest]]*AI49/12</f>
        <v>390.7141571807984</v>
      </c>
      <c r="AK49" s="20">
        <f>IF($D$2="JA",Dashboard!$K$27-$AH$11+AH49,Dashboard!$K$27)</f>
        <v>2.5300000000000003E-2</v>
      </c>
      <c r="AL49" s="27">
        <f t="shared" si="0"/>
        <v>0</v>
      </c>
      <c r="AM49" s="20">
        <f>IF($D$2="JA",Dashboard!$K$28-$AH$11+AH49,Dashboard!$K$28)</f>
        <v>2.5300000000000003E-2</v>
      </c>
      <c r="AN49" s="27">
        <f t="shared" si="1"/>
        <v>0</v>
      </c>
      <c r="AO49" s="63">
        <f>Tabel2[[#This Row],[Aflossing]]+V49</f>
        <v>402.68757230862383</v>
      </c>
      <c r="AP49" s="63">
        <f t="shared" si="10"/>
        <v>390.7141571807984</v>
      </c>
      <c r="AQ49" s="2">
        <f t="shared" si="11"/>
        <v>414.6038369311716</v>
      </c>
      <c r="AU49" s="20"/>
      <c r="AV49" s="20"/>
    </row>
    <row r="50" spans="1:48">
      <c r="A50" s="71">
        <v>39</v>
      </c>
      <c r="B50" s="77">
        <f t="shared" si="12"/>
        <v>184916.28026048114</v>
      </c>
      <c r="C50" s="73">
        <f>B50/Dashboard!$I$25</f>
        <v>0.73966512104192461</v>
      </c>
      <c r="D50" s="74">
        <f t="shared" si="2"/>
        <v>1.5E-3</v>
      </c>
      <c r="E50" s="73">
        <f>IF($D$2="JA",Dashboard!$K$26-$D$11+D50,Dashboard!$K$26)</f>
        <v>2.5300000000000003E-2</v>
      </c>
      <c r="F50" s="72">
        <f t="shared" si="3"/>
        <v>389.86515754918111</v>
      </c>
      <c r="G50" s="72">
        <f t="shared" si="13"/>
        <v>403.53657194024112</v>
      </c>
      <c r="H50" s="72">
        <f>IFERROR(-PMT(E50^1/12,Dashboard!$I$30-A50,B50),0)</f>
        <v>793.40172948942222</v>
      </c>
      <c r="I50" s="75">
        <f t="shared" si="4"/>
        <v>793.40172948942222</v>
      </c>
      <c r="J50" s="76">
        <f t="shared" si="14"/>
        <v>185249.02706801274</v>
      </c>
      <c r="K50" s="76">
        <f>J50*Dashboard!$K$26/12</f>
        <v>413.72282711856178</v>
      </c>
      <c r="L50" s="76">
        <f t="shared" si="5"/>
        <v>395.36301545879337</v>
      </c>
      <c r="M50" s="76">
        <f>IF(H50=0,0,IFERROR(-PMT(Dashboard!$K$26^1/12,Dashboard!$I$30,Dashboard!$I$26),0))</f>
        <v>809.08584257735515</v>
      </c>
      <c r="P50" s="59">
        <v>39</v>
      </c>
      <c r="Q50" s="28">
        <f t="shared" si="6"/>
        <v>0</v>
      </c>
      <c r="R50" s="20">
        <f>Q50/Dashboard!$I$25</f>
        <v>0</v>
      </c>
      <c r="S50" s="20">
        <f t="shared" si="15"/>
        <v>0</v>
      </c>
      <c r="T50" s="20">
        <f>IF($D$2="JA",Dashboard!$K$27-$S$11+S50,Dashboard!$K$27)</f>
        <v>2.6800000000000001E-2</v>
      </c>
      <c r="U50" s="27">
        <f t="shared" si="7"/>
        <v>0</v>
      </c>
      <c r="V50" s="26">
        <f>IF(Q50&lt;=1,0,Dashboard!$I$27/Dashboard!$I$30)</f>
        <v>0</v>
      </c>
      <c r="W50" s="28">
        <f>Q50*Dashboard!$K$27/12</f>
        <v>0</v>
      </c>
      <c r="Y50" s="59">
        <v>39</v>
      </c>
      <c r="Z50" s="67">
        <f>Dashboard!$I$28</f>
        <v>0</v>
      </c>
      <c r="AA50" s="64">
        <f>IF(Z50&lt;=1,0,Dashboard!$I$30-Y50)</f>
        <v>0</v>
      </c>
      <c r="AB50" s="64">
        <f t="shared" si="8"/>
        <v>0</v>
      </c>
      <c r="AC50" s="1">
        <f>Dashboard!$K$28</f>
        <v>2.6800000000000001E-2</v>
      </c>
      <c r="AD50" s="28">
        <f t="shared" si="9"/>
        <v>0</v>
      </c>
      <c r="AF50" s="2">
        <f t="shared" si="16"/>
        <v>184916.28026048114</v>
      </c>
      <c r="AG50" s="62">
        <f>(B50+Q50+Z50)/Dashboard!$I$25</f>
        <v>0.73966512104192461</v>
      </c>
      <c r="AH50" s="20">
        <f t="shared" si="17"/>
        <v>1.5E-3</v>
      </c>
      <c r="AI50" s="20">
        <f>IF($D$2="JA",Dashboard!$K$26-$AH$11+AH50,Dashboard!$K$26)</f>
        <v>2.5300000000000003E-2</v>
      </c>
      <c r="AJ50" s="27">
        <f>Tabel2[[#This Row],[Schuldrest]]*AI50/12</f>
        <v>389.86515754918111</v>
      </c>
      <c r="AK50" s="20">
        <f>IF($D$2="JA",Dashboard!$K$27-$AH$11+AH50,Dashboard!$K$27)</f>
        <v>2.5300000000000003E-2</v>
      </c>
      <c r="AL50" s="27">
        <f t="shared" si="0"/>
        <v>0</v>
      </c>
      <c r="AM50" s="20">
        <f>IF($D$2="JA",Dashboard!$K$28-$AH$11+AH50,Dashboard!$K$28)</f>
        <v>2.5300000000000003E-2</v>
      </c>
      <c r="AN50" s="27">
        <f t="shared" si="1"/>
        <v>0</v>
      </c>
      <c r="AO50" s="63">
        <f>Tabel2[[#This Row],[Aflossing]]+V50</f>
        <v>403.53657194024112</v>
      </c>
      <c r="AP50" s="63">
        <f t="shared" si="10"/>
        <v>389.86515754918111</v>
      </c>
      <c r="AQ50" s="2">
        <f t="shared" si="11"/>
        <v>413.72282711856178</v>
      </c>
      <c r="AU50" s="20"/>
      <c r="AV50" s="20"/>
    </row>
    <row r="51" spans="1:48">
      <c r="A51" s="71">
        <v>40</v>
      </c>
      <c r="B51" s="77">
        <f t="shared" si="12"/>
        <v>184512.74368854091</v>
      </c>
      <c r="C51" s="73">
        <f>B51/Dashboard!$I$25</f>
        <v>0.73805097475416359</v>
      </c>
      <c r="D51" s="74">
        <f t="shared" si="2"/>
        <v>1.5E-3</v>
      </c>
      <c r="E51" s="73">
        <f>IF($D$2="JA",Dashboard!$K$26-$D$11+D51,Dashboard!$K$26)</f>
        <v>2.5300000000000003E-2</v>
      </c>
      <c r="F51" s="72">
        <f t="shared" si="3"/>
        <v>389.01436794334046</v>
      </c>
      <c r="G51" s="72">
        <f t="shared" si="13"/>
        <v>404.38736154608176</v>
      </c>
      <c r="H51" s="72">
        <f>IFERROR(-PMT(E51^1/12,Dashboard!$I$30-A51,B51),0)</f>
        <v>793.40172948942222</v>
      </c>
      <c r="I51" s="75">
        <f t="shared" si="4"/>
        <v>793.40172948942222</v>
      </c>
      <c r="J51" s="76">
        <f t="shared" si="14"/>
        <v>184853.66405255394</v>
      </c>
      <c r="K51" s="76">
        <f>J51*Dashboard!$K$26/12</f>
        <v>412.8398497173705</v>
      </c>
      <c r="L51" s="76">
        <f t="shared" si="5"/>
        <v>396.24599285998465</v>
      </c>
      <c r="M51" s="76">
        <f>IF(H51=0,0,IFERROR(-PMT(Dashboard!$K$26^1/12,Dashboard!$I$30,Dashboard!$I$26),0))</f>
        <v>809.08584257735515</v>
      </c>
      <c r="P51" s="59">
        <v>40</v>
      </c>
      <c r="Q51" s="28">
        <f t="shared" si="6"/>
        <v>0</v>
      </c>
      <c r="R51" s="20">
        <f>Q51/Dashboard!$I$25</f>
        <v>0</v>
      </c>
      <c r="S51" s="20">
        <f t="shared" si="15"/>
        <v>0</v>
      </c>
      <c r="T51" s="20">
        <f>IF($D$2="JA",Dashboard!$K$27-$S$11+S51,Dashboard!$K$27)</f>
        <v>2.6800000000000001E-2</v>
      </c>
      <c r="U51" s="27">
        <f t="shared" si="7"/>
        <v>0</v>
      </c>
      <c r="V51" s="26">
        <f>IF(Q51&lt;=1,0,Dashboard!$I$27/Dashboard!$I$30)</f>
        <v>0</v>
      </c>
      <c r="W51" s="28">
        <f>Q51*Dashboard!$K$27/12</f>
        <v>0</v>
      </c>
      <c r="Y51" s="59">
        <v>40</v>
      </c>
      <c r="Z51" s="67">
        <f>Dashboard!$I$28</f>
        <v>0</v>
      </c>
      <c r="AA51" s="64">
        <f>IF(Z51&lt;=1,0,Dashboard!$I$30-Y51)</f>
        <v>0</v>
      </c>
      <c r="AB51" s="64">
        <f t="shared" si="8"/>
        <v>0</v>
      </c>
      <c r="AC51" s="1">
        <f>Dashboard!$K$28</f>
        <v>2.6800000000000001E-2</v>
      </c>
      <c r="AD51" s="28">
        <f t="shared" si="9"/>
        <v>0</v>
      </c>
      <c r="AF51" s="2">
        <f t="shared" si="16"/>
        <v>184512.74368854091</v>
      </c>
      <c r="AG51" s="62">
        <f>(B51+Q51+Z51)/Dashboard!$I$25</f>
        <v>0.73805097475416359</v>
      </c>
      <c r="AH51" s="20">
        <f t="shared" si="17"/>
        <v>1.5E-3</v>
      </c>
      <c r="AI51" s="20">
        <f>IF($D$2="JA",Dashboard!$K$26-$AH$11+AH51,Dashboard!$K$26)</f>
        <v>2.5300000000000003E-2</v>
      </c>
      <c r="AJ51" s="27">
        <f>Tabel2[[#This Row],[Schuldrest]]*AI51/12</f>
        <v>389.01436794334046</v>
      </c>
      <c r="AK51" s="20">
        <f>IF($D$2="JA",Dashboard!$K$27-$AH$11+AH51,Dashboard!$K$27)</f>
        <v>2.5300000000000003E-2</v>
      </c>
      <c r="AL51" s="27">
        <f t="shared" si="0"/>
        <v>0</v>
      </c>
      <c r="AM51" s="20">
        <f>IF($D$2="JA",Dashboard!$K$28-$AH$11+AH51,Dashboard!$K$28)</f>
        <v>2.5300000000000003E-2</v>
      </c>
      <c r="AN51" s="27">
        <f t="shared" si="1"/>
        <v>0</v>
      </c>
      <c r="AO51" s="63">
        <f>Tabel2[[#This Row],[Aflossing]]+V51</f>
        <v>404.38736154608176</v>
      </c>
      <c r="AP51" s="63">
        <f t="shared" si="10"/>
        <v>389.01436794334046</v>
      </c>
      <c r="AQ51" s="2">
        <f t="shared" si="11"/>
        <v>412.8398497173705</v>
      </c>
      <c r="AU51" s="20"/>
      <c r="AV51" s="20"/>
    </row>
    <row r="52" spans="1:48">
      <c r="A52" s="71">
        <v>41</v>
      </c>
      <c r="B52" s="77">
        <f t="shared" si="12"/>
        <v>184108.35632699484</v>
      </c>
      <c r="C52" s="73">
        <f>B52/Dashboard!$I$25</f>
        <v>0.73643342530797939</v>
      </c>
      <c r="D52" s="74">
        <f t="shared" si="2"/>
        <v>1.5E-3</v>
      </c>
      <c r="E52" s="73">
        <f>IF($D$2="JA",Dashboard!$K$26-$D$11+D52,Dashboard!$K$26)</f>
        <v>2.5300000000000003E-2</v>
      </c>
      <c r="F52" s="72">
        <f t="shared" si="3"/>
        <v>388.16178458941414</v>
      </c>
      <c r="G52" s="72">
        <f t="shared" si="13"/>
        <v>405.23994490000808</v>
      </c>
      <c r="H52" s="72">
        <f>IFERROR(-PMT(E52^1/12,Dashboard!$I$30-A52,B52),0)</f>
        <v>793.40172948942222</v>
      </c>
      <c r="I52" s="75">
        <f t="shared" si="4"/>
        <v>793.40172948942222</v>
      </c>
      <c r="J52" s="76">
        <f t="shared" si="14"/>
        <v>184457.41805969397</v>
      </c>
      <c r="K52" s="76">
        <f>J52*Dashboard!$K$26/12</f>
        <v>411.95490033331657</v>
      </c>
      <c r="L52" s="76">
        <f t="shared" si="5"/>
        <v>397.13094224403858</v>
      </c>
      <c r="M52" s="76">
        <f>IF(H52=0,0,IFERROR(-PMT(Dashboard!$K$26^1/12,Dashboard!$I$30,Dashboard!$I$26),0))</f>
        <v>809.08584257735515</v>
      </c>
      <c r="P52" s="59">
        <v>41</v>
      </c>
      <c r="Q52" s="28">
        <f t="shared" si="6"/>
        <v>0</v>
      </c>
      <c r="R52" s="20">
        <f>Q52/Dashboard!$I$25</f>
        <v>0</v>
      </c>
      <c r="S52" s="20">
        <f t="shared" si="15"/>
        <v>0</v>
      </c>
      <c r="T52" s="20">
        <f>IF($D$2="JA",Dashboard!$K$27-$S$11+S52,Dashboard!$K$27)</f>
        <v>2.6800000000000001E-2</v>
      </c>
      <c r="U52" s="27">
        <f t="shared" si="7"/>
        <v>0</v>
      </c>
      <c r="V52" s="26">
        <f>IF(Q52&lt;=1,0,Dashboard!$I$27/Dashboard!$I$30)</f>
        <v>0</v>
      </c>
      <c r="W52" s="28">
        <f>Q52*Dashboard!$K$27/12</f>
        <v>0</v>
      </c>
      <c r="Y52" s="59">
        <v>41</v>
      </c>
      <c r="Z52" s="67">
        <f>Dashboard!$I$28</f>
        <v>0</v>
      </c>
      <c r="AA52" s="64">
        <f>IF(Z52&lt;=1,0,Dashboard!$I$30-Y52)</f>
        <v>0</v>
      </c>
      <c r="AB52" s="64">
        <f t="shared" si="8"/>
        <v>0</v>
      </c>
      <c r="AC52" s="1">
        <f>Dashboard!$K$28</f>
        <v>2.6800000000000001E-2</v>
      </c>
      <c r="AD52" s="28">
        <f t="shared" si="9"/>
        <v>0</v>
      </c>
      <c r="AF52" s="2">
        <f t="shared" si="16"/>
        <v>184108.35632699484</v>
      </c>
      <c r="AG52" s="62">
        <f>(B52+Q52+Z52)/Dashboard!$I$25</f>
        <v>0.73643342530797939</v>
      </c>
      <c r="AH52" s="20">
        <f t="shared" si="17"/>
        <v>1.5E-3</v>
      </c>
      <c r="AI52" s="20">
        <f>IF($D$2="JA",Dashboard!$K$26-$AH$11+AH52,Dashboard!$K$26)</f>
        <v>2.5300000000000003E-2</v>
      </c>
      <c r="AJ52" s="27">
        <f>Tabel2[[#This Row],[Schuldrest]]*AI52/12</f>
        <v>388.16178458941414</v>
      </c>
      <c r="AK52" s="20">
        <f>IF($D$2="JA",Dashboard!$K$27-$AH$11+AH52,Dashboard!$K$27)</f>
        <v>2.5300000000000003E-2</v>
      </c>
      <c r="AL52" s="27">
        <f t="shared" si="0"/>
        <v>0</v>
      </c>
      <c r="AM52" s="20">
        <f>IF($D$2="JA",Dashboard!$K$28-$AH$11+AH52,Dashboard!$K$28)</f>
        <v>2.5300000000000003E-2</v>
      </c>
      <c r="AN52" s="27">
        <f t="shared" si="1"/>
        <v>0</v>
      </c>
      <c r="AO52" s="63">
        <f>Tabel2[[#This Row],[Aflossing]]+V52</f>
        <v>405.23994490000808</v>
      </c>
      <c r="AP52" s="63">
        <f t="shared" si="10"/>
        <v>388.16178458941414</v>
      </c>
      <c r="AQ52" s="2">
        <f t="shared" si="11"/>
        <v>411.95490033331657</v>
      </c>
      <c r="AU52" s="20"/>
      <c r="AV52" s="20"/>
    </row>
    <row r="53" spans="1:48">
      <c r="A53" s="71">
        <v>42</v>
      </c>
      <c r="B53" s="77">
        <f t="shared" si="12"/>
        <v>183703.11638209483</v>
      </c>
      <c r="C53" s="73">
        <f>B53/Dashboard!$I$25</f>
        <v>0.73481246552837931</v>
      </c>
      <c r="D53" s="74">
        <f t="shared" si="2"/>
        <v>1.5E-3</v>
      </c>
      <c r="E53" s="73">
        <f>IF($D$2="JA",Dashboard!$K$26-$D$11+D53,Dashboard!$K$26)</f>
        <v>2.5300000000000003E-2</v>
      </c>
      <c r="F53" s="72">
        <f t="shared" si="3"/>
        <v>387.30740370558328</v>
      </c>
      <c r="G53" s="72">
        <f t="shared" si="13"/>
        <v>406.09432578383894</v>
      </c>
      <c r="H53" s="72">
        <f>IFERROR(-PMT(E53^1/12,Dashboard!$I$30-A53,B53),0)</f>
        <v>793.40172948942222</v>
      </c>
      <c r="I53" s="75">
        <f t="shared" si="4"/>
        <v>793.40172948942222</v>
      </c>
      <c r="J53" s="76">
        <f t="shared" si="14"/>
        <v>184060.28711744995</v>
      </c>
      <c r="K53" s="76">
        <f>J53*Dashboard!$K$26/12</f>
        <v>411.06797456230493</v>
      </c>
      <c r="L53" s="76">
        <f t="shared" si="5"/>
        <v>398.01786801505023</v>
      </c>
      <c r="M53" s="76">
        <f>IF(H53=0,0,IFERROR(-PMT(Dashboard!$K$26^1/12,Dashboard!$I$30,Dashboard!$I$26),0))</f>
        <v>809.08584257735515</v>
      </c>
      <c r="P53" s="59">
        <v>42</v>
      </c>
      <c r="Q53" s="28">
        <f t="shared" si="6"/>
        <v>0</v>
      </c>
      <c r="R53" s="20">
        <f>Q53/Dashboard!$I$25</f>
        <v>0</v>
      </c>
      <c r="S53" s="20">
        <f t="shared" si="15"/>
        <v>0</v>
      </c>
      <c r="T53" s="20">
        <f>IF($D$2="JA",Dashboard!$K$27-$S$11+S53,Dashboard!$K$27)</f>
        <v>2.6800000000000001E-2</v>
      </c>
      <c r="U53" s="27">
        <f t="shared" si="7"/>
        <v>0</v>
      </c>
      <c r="V53" s="26">
        <f>IF(Q53&lt;=1,0,Dashboard!$I$27/Dashboard!$I$30)</f>
        <v>0</v>
      </c>
      <c r="W53" s="28">
        <f>Q53*Dashboard!$K$27/12</f>
        <v>0</v>
      </c>
      <c r="Y53" s="59">
        <v>42</v>
      </c>
      <c r="Z53" s="67">
        <f>Dashboard!$I$28</f>
        <v>0</v>
      </c>
      <c r="AA53" s="64">
        <f>IF(Z53&lt;=1,0,Dashboard!$I$30-Y53)</f>
        <v>0</v>
      </c>
      <c r="AB53" s="64">
        <f t="shared" si="8"/>
        <v>0</v>
      </c>
      <c r="AC53" s="1">
        <f>Dashboard!$K$28</f>
        <v>2.6800000000000001E-2</v>
      </c>
      <c r="AD53" s="28">
        <f t="shared" si="9"/>
        <v>0</v>
      </c>
      <c r="AF53" s="2">
        <f t="shared" si="16"/>
        <v>183703.11638209483</v>
      </c>
      <c r="AG53" s="62">
        <f>(B53+Q53+Z53)/Dashboard!$I$25</f>
        <v>0.73481246552837931</v>
      </c>
      <c r="AH53" s="20">
        <f t="shared" si="17"/>
        <v>1.5E-3</v>
      </c>
      <c r="AI53" s="20">
        <f>IF($D$2="JA",Dashboard!$K$26-$AH$11+AH53,Dashboard!$K$26)</f>
        <v>2.5300000000000003E-2</v>
      </c>
      <c r="AJ53" s="27">
        <f>Tabel2[[#This Row],[Schuldrest]]*AI53/12</f>
        <v>387.30740370558328</v>
      </c>
      <c r="AK53" s="20">
        <f>IF($D$2="JA",Dashboard!$K$27-$AH$11+AH53,Dashboard!$K$27)</f>
        <v>2.5300000000000003E-2</v>
      </c>
      <c r="AL53" s="27">
        <f t="shared" si="0"/>
        <v>0</v>
      </c>
      <c r="AM53" s="20">
        <f>IF($D$2="JA",Dashboard!$K$28-$AH$11+AH53,Dashboard!$K$28)</f>
        <v>2.5300000000000003E-2</v>
      </c>
      <c r="AN53" s="27">
        <f t="shared" si="1"/>
        <v>0</v>
      </c>
      <c r="AO53" s="63">
        <f>Tabel2[[#This Row],[Aflossing]]+V53</f>
        <v>406.09432578383894</v>
      </c>
      <c r="AP53" s="63">
        <f t="shared" si="10"/>
        <v>387.30740370558328</v>
      </c>
      <c r="AQ53" s="2">
        <f t="shared" si="11"/>
        <v>411.06797456230493</v>
      </c>
      <c r="AU53" s="20"/>
      <c r="AV53" s="20"/>
    </row>
    <row r="54" spans="1:48">
      <c r="A54" s="71">
        <v>43</v>
      </c>
      <c r="B54" s="77">
        <f t="shared" si="12"/>
        <v>183297.02205631099</v>
      </c>
      <c r="C54" s="73">
        <f>B54/Dashboard!$I$25</f>
        <v>0.73318808822524395</v>
      </c>
      <c r="D54" s="74">
        <f t="shared" si="2"/>
        <v>1.5E-3</v>
      </c>
      <c r="E54" s="73">
        <f>IF($D$2="JA",Dashboard!$K$26-$D$11+D54,Dashboard!$K$26)</f>
        <v>2.5300000000000003E-2</v>
      </c>
      <c r="F54" s="72">
        <f t="shared" si="3"/>
        <v>386.45122150205572</v>
      </c>
      <c r="G54" s="72">
        <f t="shared" si="13"/>
        <v>406.95050798736662</v>
      </c>
      <c r="H54" s="72">
        <f>IFERROR(-PMT(E54^1/12,Dashboard!$I$30-A54,B54),0)</f>
        <v>793.40172948942234</v>
      </c>
      <c r="I54" s="75">
        <f t="shared" si="4"/>
        <v>793.40172948942234</v>
      </c>
      <c r="J54" s="76">
        <f t="shared" si="14"/>
        <v>183662.2692494349</v>
      </c>
      <c r="K54" s="76">
        <f>J54*Dashboard!$K$26/12</f>
        <v>410.17906799040458</v>
      </c>
      <c r="L54" s="76">
        <f t="shared" si="5"/>
        <v>398.90677458695058</v>
      </c>
      <c r="M54" s="76">
        <f>IF(H54=0,0,IFERROR(-PMT(Dashboard!$K$26^1/12,Dashboard!$I$30,Dashboard!$I$26),0))</f>
        <v>809.08584257735515</v>
      </c>
      <c r="P54" s="59">
        <v>43</v>
      </c>
      <c r="Q54" s="28">
        <f t="shared" si="6"/>
        <v>0</v>
      </c>
      <c r="R54" s="20">
        <f>Q54/Dashboard!$I$25</f>
        <v>0</v>
      </c>
      <c r="S54" s="20">
        <f t="shared" si="15"/>
        <v>0</v>
      </c>
      <c r="T54" s="20">
        <f>IF($D$2="JA",Dashboard!$K$27-$S$11+S54,Dashboard!$K$27)</f>
        <v>2.6800000000000001E-2</v>
      </c>
      <c r="U54" s="27">
        <f t="shared" si="7"/>
        <v>0</v>
      </c>
      <c r="V54" s="26">
        <f>IF(Q54&lt;=1,0,Dashboard!$I$27/Dashboard!$I$30)</f>
        <v>0</v>
      </c>
      <c r="W54" s="28">
        <f>Q54*Dashboard!$K$27/12</f>
        <v>0</v>
      </c>
      <c r="Y54" s="59">
        <v>43</v>
      </c>
      <c r="Z54" s="67">
        <f>Dashboard!$I$28</f>
        <v>0</v>
      </c>
      <c r="AA54" s="64">
        <f>IF(Z54&lt;=1,0,Dashboard!$I$30-Y54)</f>
        <v>0</v>
      </c>
      <c r="AB54" s="64">
        <f t="shared" si="8"/>
        <v>0</v>
      </c>
      <c r="AC54" s="1">
        <f>Dashboard!$K$28</f>
        <v>2.6800000000000001E-2</v>
      </c>
      <c r="AD54" s="28">
        <f t="shared" si="9"/>
        <v>0</v>
      </c>
      <c r="AF54" s="2">
        <f t="shared" si="16"/>
        <v>183297.02205631099</v>
      </c>
      <c r="AG54" s="62">
        <f>(B54+Q54+Z54)/Dashboard!$I$25</f>
        <v>0.73318808822524395</v>
      </c>
      <c r="AH54" s="20">
        <f t="shared" si="17"/>
        <v>1.5E-3</v>
      </c>
      <c r="AI54" s="20">
        <f>IF($D$2="JA",Dashboard!$K$26-$AH$11+AH54,Dashboard!$K$26)</f>
        <v>2.5300000000000003E-2</v>
      </c>
      <c r="AJ54" s="27">
        <f>Tabel2[[#This Row],[Schuldrest]]*AI54/12</f>
        <v>386.45122150205572</v>
      </c>
      <c r="AK54" s="20">
        <f>IF($D$2="JA",Dashboard!$K$27-$AH$11+AH54,Dashboard!$K$27)</f>
        <v>2.5300000000000003E-2</v>
      </c>
      <c r="AL54" s="27">
        <f t="shared" si="0"/>
        <v>0</v>
      </c>
      <c r="AM54" s="20">
        <f>IF($D$2="JA",Dashboard!$K$28-$AH$11+AH54,Dashboard!$K$28)</f>
        <v>2.5300000000000003E-2</v>
      </c>
      <c r="AN54" s="27">
        <f t="shared" si="1"/>
        <v>0</v>
      </c>
      <c r="AO54" s="63">
        <f>Tabel2[[#This Row],[Aflossing]]+V54</f>
        <v>406.95050798736662</v>
      </c>
      <c r="AP54" s="63">
        <f t="shared" si="10"/>
        <v>386.45122150205572</v>
      </c>
      <c r="AQ54" s="2">
        <f t="shared" si="11"/>
        <v>410.17906799040458</v>
      </c>
      <c r="AU54" s="20"/>
      <c r="AV54" s="20"/>
    </row>
    <row r="55" spans="1:48">
      <c r="A55" s="71">
        <v>44</v>
      </c>
      <c r="B55" s="77">
        <f t="shared" si="12"/>
        <v>182890.07154832361</v>
      </c>
      <c r="C55" s="73">
        <f>B55/Dashboard!$I$25</f>
        <v>0.7315602861932945</v>
      </c>
      <c r="D55" s="74">
        <f t="shared" si="2"/>
        <v>1.5E-3</v>
      </c>
      <c r="E55" s="73">
        <f>IF($D$2="JA",Dashboard!$K$26-$D$11+D55,Dashboard!$K$26)</f>
        <v>2.5300000000000003E-2</v>
      </c>
      <c r="F55" s="72">
        <f t="shared" si="3"/>
        <v>385.59323418104901</v>
      </c>
      <c r="G55" s="72">
        <f t="shared" si="13"/>
        <v>407.80849530837332</v>
      </c>
      <c r="H55" s="72">
        <f>IFERROR(-PMT(E55^1/12,Dashboard!$I$30-A55,B55),0)</f>
        <v>793.40172948942234</v>
      </c>
      <c r="I55" s="75">
        <f t="shared" si="4"/>
        <v>793.40172948942234</v>
      </c>
      <c r="J55" s="76">
        <f t="shared" si="14"/>
        <v>183263.36247484796</v>
      </c>
      <c r="K55" s="76">
        <f>J55*Dashboard!$K$26/12</f>
        <v>409.28817619382716</v>
      </c>
      <c r="L55" s="76">
        <f t="shared" si="5"/>
        <v>399.797666383528</v>
      </c>
      <c r="M55" s="76">
        <f>IF(H55=0,0,IFERROR(-PMT(Dashboard!$K$26^1/12,Dashboard!$I$30,Dashboard!$I$26),0))</f>
        <v>809.08584257735515</v>
      </c>
      <c r="P55" s="59">
        <v>44</v>
      </c>
      <c r="Q55" s="28">
        <f t="shared" si="6"/>
        <v>0</v>
      </c>
      <c r="R55" s="20">
        <f>Q55/Dashboard!$I$25</f>
        <v>0</v>
      </c>
      <c r="S55" s="20">
        <f t="shared" si="15"/>
        <v>0</v>
      </c>
      <c r="T55" s="20">
        <f>IF($D$2="JA",Dashboard!$K$27-$S$11+S55,Dashboard!$K$27)</f>
        <v>2.6800000000000001E-2</v>
      </c>
      <c r="U55" s="27">
        <f t="shared" si="7"/>
        <v>0</v>
      </c>
      <c r="V55" s="26">
        <f>IF(Q55&lt;=1,0,Dashboard!$I$27/Dashboard!$I$30)</f>
        <v>0</v>
      </c>
      <c r="W55" s="28">
        <f>Q55*Dashboard!$K$27/12</f>
        <v>0</v>
      </c>
      <c r="Y55" s="59">
        <v>44</v>
      </c>
      <c r="Z55" s="67">
        <f>Dashboard!$I$28</f>
        <v>0</v>
      </c>
      <c r="AA55" s="64">
        <f>IF(Z55&lt;=1,0,Dashboard!$I$30-Y55)</f>
        <v>0</v>
      </c>
      <c r="AB55" s="64">
        <f t="shared" si="8"/>
        <v>0</v>
      </c>
      <c r="AC55" s="1">
        <f>Dashboard!$K$28</f>
        <v>2.6800000000000001E-2</v>
      </c>
      <c r="AD55" s="28">
        <f t="shared" si="9"/>
        <v>0</v>
      </c>
      <c r="AF55" s="2">
        <f t="shared" si="16"/>
        <v>182890.07154832361</v>
      </c>
      <c r="AG55" s="62">
        <f>(B55+Q55+Z55)/Dashboard!$I$25</f>
        <v>0.7315602861932945</v>
      </c>
      <c r="AH55" s="20">
        <f t="shared" si="17"/>
        <v>1.5E-3</v>
      </c>
      <c r="AI55" s="20">
        <f>IF($D$2="JA",Dashboard!$K$26-$AH$11+AH55,Dashboard!$K$26)</f>
        <v>2.5300000000000003E-2</v>
      </c>
      <c r="AJ55" s="27">
        <f>Tabel2[[#This Row],[Schuldrest]]*AI55/12</f>
        <v>385.59323418104901</v>
      </c>
      <c r="AK55" s="20">
        <f>IF($D$2="JA",Dashboard!$K$27-$AH$11+AH55,Dashboard!$K$27)</f>
        <v>2.5300000000000003E-2</v>
      </c>
      <c r="AL55" s="27">
        <f t="shared" si="0"/>
        <v>0</v>
      </c>
      <c r="AM55" s="20">
        <f>IF($D$2="JA",Dashboard!$K$28-$AH$11+AH55,Dashboard!$K$28)</f>
        <v>2.5300000000000003E-2</v>
      </c>
      <c r="AN55" s="27">
        <f t="shared" si="1"/>
        <v>0</v>
      </c>
      <c r="AO55" s="63">
        <f>Tabel2[[#This Row],[Aflossing]]+V55</f>
        <v>407.80849530837332</v>
      </c>
      <c r="AP55" s="63">
        <f t="shared" si="10"/>
        <v>385.59323418104901</v>
      </c>
      <c r="AQ55" s="2">
        <f t="shared" si="11"/>
        <v>409.28817619382716</v>
      </c>
      <c r="AU55" s="20"/>
      <c r="AV55" s="20"/>
    </row>
    <row r="56" spans="1:48">
      <c r="A56" s="71">
        <v>45</v>
      </c>
      <c r="B56" s="77">
        <f t="shared" si="12"/>
        <v>182482.26305301525</v>
      </c>
      <c r="C56" s="73">
        <f>B56/Dashboard!$I$25</f>
        <v>0.72992905221206106</v>
      </c>
      <c r="D56" s="74">
        <f t="shared" si="2"/>
        <v>1.5E-3</v>
      </c>
      <c r="E56" s="73">
        <f>IF($D$2="JA",Dashboard!$K$26-$D$11+D56,Dashboard!$K$26)</f>
        <v>2.5300000000000003E-2</v>
      </c>
      <c r="F56" s="72">
        <f t="shared" si="3"/>
        <v>384.7334379367739</v>
      </c>
      <c r="G56" s="72">
        <f t="shared" si="13"/>
        <v>408.66829155264833</v>
      </c>
      <c r="H56" s="72">
        <f>IFERROR(-PMT(E56^1/12,Dashboard!$I$30-A56,B56),0)</f>
        <v>793.40172948942222</v>
      </c>
      <c r="I56" s="75">
        <f t="shared" si="4"/>
        <v>793.40172948942222</v>
      </c>
      <c r="J56" s="76">
        <f t="shared" si="14"/>
        <v>182863.56480846443</v>
      </c>
      <c r="K56" s="76">
        <f>J56*Dashboard!$K$26/12</f>
        <v>408.39529473890389</v>
      </c>
      <c r="L56" s="76">
        <f t="shared" si="5"/>
        <v>400.69054783845127</v>
      </c>
      <c r="M56" s="76">
        <f>IF(H56=0,0,IFERROR(-PMT(Dashboard!$K$26^1/12,Dashboard!$I$30,Dashboard!$I$26),0))</f>
        <v>809.08584257735515</v>
      </c>
      <c r="P56" s="59">
        <v>45</v>
      </c>
      <c r="Q56" s="28">
        <f t="shared" si="6"/>
        <v>0</v>
      </c>
      <c r="R56" s="20">
        <f>Q56/Dashboard!$I$25</f>
        <v>0</v>
      </c>
      <c r="S56" s="20">
        <f t="shared" si="15"/>
        <v>0</v>
      </c>
      <c r="T56" s="20">
        <f>IF($D$2="JA",Dashboard!$K$27-$S$11+S56,Dashboard!$K$27)</f>
        <v>2.6800000000000001E-2</v>
      </c>
      <c r="U56" s="27">
        <f t="shared" si="7"/>
        <v>0</v>
      </c>
      <c r="V56" s="26">
        <f>IF(Q56&lt;=1,0,Dashboard!$I$27/Dashboard!$I$30)</f>
        <v>0</v>
      </c>
      <c r="W56" s="28">
        <f>Q56*Dashboard!$K$27/12</f>
        <v>0</v>
      </c>
      <c r="Y56" s="59">
        <v>45</v>
      </c>
      <c r="Z56" s="67">
        <f>Dashboard!$I$28</f>
        <v>0</v>
      </c>
      <c r="AA56" s="64">
        <f>IF(Z56&lt;=1,0,Dashboard!$I$30-Y56)</f>
        <v>0</v>
      </c>
      <c r="AB56" s="64">
        <f t="shared" si="8"/>
        <v>0</v>
      </c>
      <c r="AC56" s="1">
        <f>Dashboard!$K$28</f>
        <v>2.6800000000000001E-2</v>
      </c>
      <c r="AD56" s="28">
        <f t="shared" si="9"/>
        <v>0</v>
      </c>
      <c r="AF56" s="2">
        <f t="shared" si="16"/>
        <v>182482.26305301525</v>
      </c>
      <c r="AG56" s="62">
        <f>(B56+Q56+Z56)/Dashboard!$I$25</f>
        <v>0.72992905221206106</v>
      </c>
      <c r="AH56" s="20">
        <f t="shared" si="17"/>
        <v>1.5E-3</v>
      </c>
      <c r="AI56" s="20">
        <f>IF($D$2="JA",Dashboard!$K$26-$AH$11+AH56,Dashboard!$K$26)</f>
        <v>2.5300000000000003E-2</v>
      </c>
      <c r="AJ56" s="27">
        <f>Tabel2[[#This Row],[Schuldrest]]*AI56/12</f>
        <v>384.7334379367739</v>
      </c>
      <c r="AK56" s="20">
        <f>IF($D$2="JA",Dashboard!$K$27-$AH$11+AH56,Dashboard!$K$27)</f>
        <v>2.5300000000000003E-2</v>
      </c>
      <c r="AL56" s="27">
        <f t="shared" si="0"/>
        <v>0</v>
      </c>
      <c r="AM56" s="20">
        <f>IF($D$2="JA",Dashboard!$K$28-$AH$11+AH56,Dashboard!$K$28)</f>
        <v>2.5300000000000003E-2</v>
      </c>
      <c r="AN56" s="27">
        <f t="shared" si="1"/>
        <v>0</v>
      </c>
      <c r="AO56" s="63">
        <f>Tabel2[[#This Row],[Aflossing]]+V56</f>
        <v>408.66829155264833</v>
      </c>
      <c r="AP56" s="63">
        <f t="shared" si="10"/>
        <v>384.7334379367739</v>
      </c>
      <c r="AQ56" s="2">
        <f t="shared" si="11"/>
        <v>408.39529473890389</v>
      </c>
      <c r="AU56" s="20"/>
      <c r="AV56" s="20"/>
    </row>
    <row r="57" spans="1:48">
      <c r="A57" s="71">
        <v>46</v>
      </c>
      <c r="B57" s="77">
        <f t="shared" si="12"/>
        <v>182073.59476146259</v>
      </c>
      <c r="C57" s="73">
        <f>B57/Dashboard!$I$25</f>
        <v>0.72829437904585037</v>
      </c>
      <c r="D57" s="74">
        <f t="shared" si="2"/>
        <v>1.5E-3</v>
      </c>
      <c r="E57" s="73">
        <f>IF($D$2="JA",Dashboard!$K$26-$D$11+D57,Dashboard!$K$26)</f>
        <v>2.5300000000000003E-2</v>
      </c>
      <c r="F57" s="72">
        <f t="shared" si="3"/>
        <v>383.87182895541702</v>
      </c>
      <c r="G57" s="72">
        <f t="shared" si="13"/>
        <v>409.52990053400532</v>
      </c>
      <c r="H57" s="72">
        <f>IFERROR(-PMT(E57^1/12,Dashboard!$I$30-A57,B57),0)</f>
        <v>793.40172948942234</v>
      </c>
      <c r="I57" s="75">
        <f t="shared" si="4"/>
        <v>793.40172948942234</v>
      </c>
      <c r="J57" s="76">
        <f t="shared" si="14"/>
        <v>182462.87426062598</v>
      </c>
      <c r="K57" s="76">
        <f>J57*Dashboard!$K$26/12</f>
        <v>407.50041918206466</v>
      </c>
      <c r="L57" s="76">
        <f t="shared" si="5"/>
        <v>401.58542339529049</v>
      </c>
      <c r="M57" s="76">
        <f>IF(H57=0,0,IFERROR(-PMT(Dashboard!$K$26^1/12,Dashboard!$I$30,Dashboard!$I$26),0))</f>
        <v>809.08584257735515</v>
      </c>
      <c r="P57" s="59">
        <v>46</v>
      </c>
      <c r="Q57" s="28">
        <f t="shared" si="6"/>
        <v>0</v>
      </c>
      <c r="R57" s="20">
        <f>Q57/Dashboard!$I$25</f>
        <v>0</v>
      </c>
      <c r="S57" s="20">
        <f t="shared" si="15"/>
        <v>0</v>
      </c>
      <c r="T57" s="20">
        <f>IF($D$2="JA",Dashboard!$K$27-$S$11+S57,Dashboard!$K$27)</f>
        <v>2.6800000000000001E-2</v>
      </c>
      <c r="U57" s="27">
        <f t="shared" si="7"/>
        <v>0</v>
      </c>
      <c r="V57" s="26">
        <f>IF(Q57&lt;=1,0,Dashboard!$I$27/Dashboard!$I$30)</f>
        <v>0</v>
      </c>
      <c r="W57" s="28">
        <f>Q57*Dashboard!$K$27/12</f>
        <v>0</v>
      </c>
      <c r="Y57" s="59">
        <v>46</v>
      </c>
      <c r="Z57" s="67">
        <f>Dashboard!$I$28</f>
        <v>0</v>
      </c>
      <c r="AA57" s="64">
        <f>IF(Z57&lt;=1,0,Dashboard!$I$30-Y57)</f>
        <v>0</v>
      </c>
      <c r="AB57" s="64">
        <f t="shared" si="8"/>
        <v>0</v>
      </c>
      <c r="AC57" s="1">
        <f>Dashboard!$K$28</f>
        <v>2.6800000000000001E-2</v>
      </c>
      <c r="AD57" s="28">
        <f t="shared" si="9"/>
        <v>0</v>
      </c>
      <c r="AF57" s="2">
        <f t="shared" si="16"/>
        <v>182073.59476146259</v>
      </c>
      <c r="AG57" s="62">
        <f>(B57+Q57+Z57)/Dashboard!$I$25</f>
        <v>0.72829437904585037</v>
      </c>
      <c r="AH57" s="20">
        <f t="shared" si="17"/>
        <v>1.5E-3</v>
      </c>
      <c r="AI57" s="20">
        <f>IF($D$2="JA",Dashboard!$K$26-$AH$11+AH57,Dashboard!$K$26)</f>
        <v>2.5300000000000003E-2</v>
      </c>
      <c r="AJ57" s="27">
        <f>Tabel2[[#This Row],[Schuldrest]]*AI57/12</f>
        <v>383.87182895541702</v>
      </c>
      <c r="AK57" s="20">
        <f>IF($D$2="JA",Dashboard!$K$27-$AH$11+AH57,Dashboard!$K$27)</f>
        <v>2.5300000000000003E-2</v>
      </c>
      <c r="AL57" s="27">
        <f t="shared" si="0"/>
        <v>0</v>
      </c>
      <c r="AM57" s="20">
        <f>IF($D$2="JA",Dashboard!$K$28-$AH$11+AH57,Dashboard!$K$28)</f>
        <v>2.5300000000000003E-2</v>
      </c>
      <c r="AN57" s="27">
        <f t="shared" si="1"/>
        <v>0</v>
      </c>
      <c r="AO57" s="63">
        <f>Tabel2[[#This Row],[Aflossing]]+V57</f>
        <v>409.52990053400532</v>
      </c>
      <c r="AP57" s="63">
        <f t="shared" si="10"/>
        <v>383.87182895541702</v>
      </c>
      <c r="AQ57" s="2">
        <f t="shared" si="11"/>
        <v>407.50041918206466</v>
      </c>
      <c r="AU57" s="20"/>
      <c r="AV57" s="20"/>
    </row>
    <row r="58" spans="1:48">
      <c r="A58" s="71">
        <v>47</v>
      </c>
      <c r="B58" s="77">
        <f t="shared" si="12"/>
        <v>181664.0648609286</v>
      </c>
      <c r="C58" s="73">
        <f>B58/Dashboard!$I$25</f>
        <v>0.72665625944371437</v>
      </c>
      <c r="D58" s="74">
        <f t="shared" si="2"/>
        <v>1.5E-3</v>
      </c>
      <c r="E58" s="73">
        <f>IF($D$2="JA",Dashboard!$K$26-$D$11+D58,Dashboard!$K$26)</f>
        <v>2.5300000000000003E-2</v>
      </c>
      <c r="F58" s="72">
        <f t="shared" si="3"/>
        <v>383.00840341512452</v>
      </c>
      <c r="G58" s="72">
        <f t="shared" si="13"/>
        <v>410.39332607429782</v>
      </c>
      <c r="H58" s="72">
        <f>IFERROR(-PMT(E58^1/12,Dashboard!$I$30-A58,B58),0)</f>
        <v>793.40172948942234</v>
      </c>
      <c r="I58" s="75">
        <f t="shared" si="4"/>
        <v>793.40172948942234</v>
      </c>
      <c r="J58" s="76">
        <f t="shared" si="14"/>
        <v>182061.28883723068</v>
      </c>
      <c r="K58" s="76">
        <f>J58*Dashboard!$K$26/12</f>
        <v>406.6035450698152</v>
      </c>
      <c r="L58" s="76">
        <f t="shared" si="5"/>
        <v>402.48229750753995</v>
      </c>
      <c r="M58" s="76">
        <f>IF(H58=0,0,IFERROR(-PMT(Dashboard!$K$26^1/12,Dashboard!$I$30,Dashboard!$I$26),0))</f>
        <v>809.08584257735515</v>
      </c>
      <c r="P58" s="59">
        <v>47</v>
      </c>
      <c r="Q58" s="28">
        <f t="shared" si="6"/>
        <v>0</v>
      </c>
      <c r="R58" s="20">
        <f>Q58/Dashboard!$I$25</f>
        <v>0</v>
      </c>
      <c r="S58" s="20">
        <f>IF(R58&lt;=$C$5,0,VLOOKUP(C58,$C$6:$E$8,3))</f>
        <v>0</v>
      </c>
      <c r="T58" s="20">
        <f>IF($D$2="JA",Dashboard!$K$27-$S$11+S58,Dashboard!$K$27)</f>
        <v>2.6800000000000001E-2</v>
      </c>
      <c r="U58" s="27">
        <f t="shared" si="7"/>
        <v>0</v>
      </c>
      <c r="V58" s="26">
        <f>IF(Q58&lt;=1,0,Dashboard!$I$27/Dashboard!$I$30)</f>
        <v>0</v>
      </c>
      <c r="W58" s="28">
        <f>Q58*Dashboard!$K$27/12</f>
        <v>0</v>
      </c>
      <c r="Y58" s="59">
        <v>47</v>
      </c>
      <c r="Z58" s="67">
        <f>Dashboard!$I$28</f>
        <v>0</v>
      </c>
      <c r="AA58" s="64">
        <f>IF(Z58&lt;=1,0,Dashboard!$I$30-Y58)</f>
        <v>0</v>
      </c>
      <c r="AB58" s="64">
        <f t="shared" si="8"/>
        <v>0</v>
      </c>
      <c r="AC58" s="1">
        <f>Dashboard!$K$28</f>
        <v>2.6800000000000001E-2</v>
      </c>
      <c r="AD58" s="28">
        <f t="shared" si="9"/>
        <v>0</v>
      </c>
      <c r="AF58" s="2">
        <f t="shared" si="16"/>
        <v>181664.0648609286</v>
      </c>
      <c r="AG58" s="62">
        <f>(B58+Q58+Z58)/Dashboard!$I$25</f>
        <v>0.72665625944371437</v>
      </c>
      <c r="AH58" s="20">
        <f t="shared" si="17"/>
        <v>1.5E-3</v>
      </c>
      <c r="AI58" s="20">
        <f>IF($D$2="JA",Dashboard!$K$26-$AH$11+AH58,Dashboard!$K$26)</f>
        <v>2.5300000000000003E-2</v>
      </c>
      <c r="AJ58" s="27">
        <f>Tabel2[[#This Row],[Schuldrest]]*AI58/12</f>
        <v>383.00840341512452</v>
      </c>
      <c r="AK58" s="20">
        <f>IF($D$2="JA",Dashboard!$K$27-$AH$11+AH58,Dashboard!$K$27)</f>
        <v>2.5300000000000003E-2</v>
      </c>
      <c r="AL58" s="27">
        <f t="shared" si="0"/>
        <v>0</v>
      </c>
      <c r="AM58" s="20">
        <f>IF($D$2="JA",Dashboard!$K$28-$AH$11+AH58,Dashboard!$K$28)</f>
        <v>2.5300000000000003E-2</v>
      </c>
      <c r="AN58" s="27">
        <f t="shared" si="1"/>
        <v>0</v>
      </c>
      <c r="AO58" s="63">
        <f>Tabel2[[#This Row],[Aflossing]]+V58</f>
        <v>410.39332607429782</v>
      </c>
      <c r="AP58" s="63">
        <f t="shared" si="10"/>
        <v>383.00840341512452</v>
      </c>
      <c r="AQ58" s="2">
        <f t="shared" si="11"/>
        <v>406.6035450698152</v>
      </c>
      <c r="AU58" s="20"/>
      <c r="AV58" s="20"/>
    </row>
    <row r="59" spans="1:48">
      <c r="A59" s="71">
        <v>48</v>
      </c>
      <c r="B59" s="77">
        <f t="shared" si="12"/>
        <v>181253.67153485431</v>
      </c>
      <c r="C59" s="73">
        <f>B59/Dashboard!$I$25</f>
        <v>0.72501468613941722</v>
      </c>
      <c r="D59" s="74">
        <f t="shared" si="2"/>
        <v>1.5E-3</v>
      </c>
      <c r="E59" s="73">
        <f>IF($D$2="JA",Dashboard!$K$26-$D$11+D59,Dashboard!$K$26)</f>
        <v>2.5300000000000003E-2</v>
      </c>
      <c r="F59" s="72">
        <f t="shared" si="3"/>
        <v>382.14315748598455</v>
      </c>
      <c r="G59" s="72">
        <f t="shared" si="13"/>
        <v>411.25857200343779</v>
      </c>
      <c r="H59" s="72">
        <f>IFERROR(-PMT(E59^1/12,Dashboard!$I$30-A59,B59),0)</f>
        <v>793.40172948942234</v>
      </c>
      <c r="I59" s="75">
        <f t="shared" si="4"/>
        <v>793.40172948942234</v>
      </c>
      <c r="J59" s="76">
        <f t="shared" si="14"/>
        <v>181658.80653972313</v>
      </c>
      <c r="K59" s="76">
        <f>J59*Dashboard!$K$26/12</f>
        <v>405.70466793871498</v>
      </c>
      <c r="L59" s="76">
        <f t="shared" si="5"/>
        <v>403.38117463864018</v>
      </c>
      <c r="M59" s="76">
        <f>IF(H59=0,0,IFERROR(-PMT(Dashboard!$K$26^1/12,Dashboard!$I$30,Dashboard!$I$26),0))</f>
        <v>809.08584257735515</v>
      </c>
      <c r="P59" s="59">
        <v>48</v>
      </c>
      <c r="Q59" s="28">
        <f t="shared" si="6"/>
        <v>0</v>
      </c>
      <c r="R59" s="20">
        <f>Q59/Dashboard!$I$25</f>
        <v>0</v>
      </c>
      <c r="S59" s="20">
        <f>IF(R59&lt;=$C$5,0,VLOOKUP(C59,$C$6:$E$8,3))</f>
        <v>0</v>
      </c>
      <c r="T59" s="20">
        <f>IF($D$2="JA",Dashboard!$K$27-$S$11+S59,Dashboard!$K$27)</f>
        <v>2.6800000000000001E-2</v>
      </c>
      <c r="U59" s="27">
        <f t="shared" si="7"/>
        <v>0</v>
      </c>
      <c r="V59" s="26">
        <f>IF(Q59&lt;=1,0,Dashboard!$I$27/Dashboard!$I$30)</f>
        <v>0</v>
      </c>
      <c r="W59" s="28">
        <f>Q59*Dashboard!$K$27/12</f>
        <v>0</v>
      </c>
      <c r="Y59" s="59">
        <v>48</v>
      </c>
      <c r="Z59" s="67">
        <f>Dashboard!$I$28</f>
        <v>0</v>
      </c>
      <c r="AA59" s="64">
        <f>IF(Z59&lt;=1,0,Dashboard!$I$30-Y59)</f>
        <v>0</v>
      </c>
      <c r="AB59" s="64">
        <f t="shared" si="8"/>
        <v>0</v>
      </c>
      <c r="AC59" s="1">
        <f>Dashboard!$K$28</f>
        <v>2.6800000000000001E-2</v>
      </c>
      <c r="AD59" s="28">
        <f t="shared" si="9"/>
        <v>0</v>
      </c>
      <c r="AF59" s="2">
        <f t="shared" si="16"/>
        <v>181253.67153485431</v>
      </c>
      <c r="AG59" s="62">
        <f>(B59+Q59+Z59)/Dashboard!$I$25</f>
        <v>0.72501468613941722</v>
      </c>
      <c r="AH59" s="20">
        <f t="shared" si="17"/>
        <v>1.5E-3</v>
      </c>
      <c r="AI59" s="20">
        <f>IF($D$2="JA",Dashboard!$K$26-$AH$11+AH59,Dashboard!$K$26)</f>
        <v>2.5300000000000003E-2</v>
      </c>
      <c r="AJ59" s="27">
        <f>Tabel2[[#This Row],[Schuldrest]]*AI59/12</f>
        <v>382.14315748598455</v>
      </c>
      <c r="AK59" s="20">
        <f>IF($D$2="JA",Dashboard!$K$27-$AH$11+AH59,Dashboard!$K$27)</f>
        <v>2.5300000000000003E-2</v>
      </c>
      <c r="AL59" s="27">
        <f t="shared" si="0"/>
        <v>0</v>
      </c>
      <c r="AM59" s="20">
        <f>IF($D$2="JA",Dashboard!$K$28-$AH$11+AH59,Dashboard!$K$28)</f>
        <v>2.5300000000000003E-2</v>
      </c>
      <c r="AN59" s="27">
        <f t="shared" si="1"/>
        <v>0</v>
      </c>
      <c r="AO59" s="63">
        <f>Tabel2[[#This Row],[Aflossing]]+V59</f>
        <v>411.25857200343779</v>
      </c>
      <c r="AP59" s="63">
        <f t="shared" si="10"/>
        <v>382.14315748598455</v>
      </c>
      <c r="AQ59" s="2">
        <f t="shared" si="11"/>
        <v>405.70466793871498</v>
      </c>
      <c r="AU59" s="20"/>
      <c r="AV59" s="20"/>
    </row>
    <row r="60" spans="1:48">
      <c r="A60" s="71">
        <v>49</v>
      </c>
      <c r="B60" s="77">
        <f t="shared" si="12"/>
        <v>180842.41296285088</v>
      </c>
      <c r="C60" s="73">
        <f>B60/Dashboard!$I$25</f>
        <v>0.72336965185140356</v>
      </c>
      <c r="D60" s="74">
        <f t="shared" si="2"/>
        <v>1.5E-3</v>
      </c>
      <c r="E60" s="73">
        <f>IF($D$2="JA",Dashboard!$K$26-$D$11+D60,Dashboard!$K$26)</f>
        <v>2.5300000000000003E-2</v>
      </c>
      <c r="F60" s="72">
        <f t="shared" si="3"/>
        <v>381.27608733001063</v>
      </c>
      <c r="G60" s="72">
        <f t="shared" si="13"/>
        <v>412.1256421594116</v>
      </c>
      <c r="H60" s="72">
        <f>IFERROR(-PMT(E60^1/12,Dashboard!$I$30-A60,B60),0)</f>
        <v>793.40172948942222</v>
      </c>
      <c r="I60" s="75">
        <f t="shared" si="4"/>
        <v>793.40172948942222</v>
      </c>
      <c r="J60" s="76">
        <f t="shared" si="14"/>
        <v>181255.42536508449</v>
      </c>
      <c r="K60" s="76">
        <f>J60*Dashboard!$K$26/12</f>
        <v>404.80378331535536</v>
      </c>
      <c r="L60" s="76">
        <f t="shared" si="5"/>
        <v>404.28205926199979</v>
      </c>
      <c r="M60" s="76">
        <f>IF(H60=0,0,IFERROR(-PMT(Dashboard!$K$26^1/12,Dashboard!$I$30,Dashboard!$I$26),0))</f>
        <v>809.08584257735515</v>
      </c>
      <c r="P60" s="59">
        <v>49</v>
      </c>
      <c r="Q60" s="28">
        <f t="shared" si="6"/>
        <v>0</v>
      </c>
      <c r="R60" s="20">
        <f>Q60/Dashboard!$I$25</f>
        <v>0</v>
      </c>
      <c r="S60" s="20">
        <f t="shared" si="15"/>
        <v>0</v>
      </c>
      <c r="T60" s="20">
        <f>IF($D$2="JA",Dashboard!$K$27-$S$11+S60,Dashboard!$K$27)</f>
        <v>2.6800000000000001E-2</v>
      </c>
      <c r="U60" s="27">
        <f t="shared" si="7"/>
        <v>0</v>
      </c>
      <c r="V60" s="26">
        <f>IF(Q60&lt;=1,0,Dashboard!$I$27/Dashboard!$I$30)</f>
        <v>0</v>
      </c>
      <c r="W60" s="28">
        <f>Q60*Dashboard!$K$27/12</f>
        <v>0</v>
      </c>
      <c r="Y60" s="59">
        <v>49</v>
      </c>
      <c r="Z60" s="67">
        <f>Dashboard!$I$28</f>
        <v>0</v>
      </c>
      <c r="AA60" s="64">
        <f>IF(Z60&lt;=1,0,Dashboard!$I$30-Y60)</f>
        <v>0</v>
      </c>
      <c r="AB60" s="64">
        <f t="shared" si="8"/>
        <v>0</v>
      </c>
      <c r="AC60" s="1">
        <f>Dashboard!$K$28</f>
        <v>2.6800000000000001E-2</v>
      </c>
      <c r="AD60" s="28">
        <f t="shared" si="9"/>
        <v>0</v>
      </c>
      <c r="AF60" s="2">
        <f t="shared" si="16"/>
        <v>180842.41296285088</v>
      </c>
      <c r="AG60" s="62">
        <f>(B60+Q60+Z60)/Dashboard!$I$25</f>
        <v>0.72336965185140356</v>
      </c>
      <c r="AH60" s="20">
        <f t="shared" si="17"/>
        <v>1.5E-3</v>
      </c>
      <c r="AI60" s="20">
        <f>IF($D$2="JA",Dashboard!$K$26-$AH$11+AH60,Dashboard!$K$26)</f>
        <v>2.5300000000000003E-2</v>
      </c>
      <c r="AJ60" s="27">
        <f>Tabel2[[#This Row],[Schuldrest]]*AI60/12</f>
        <v>381.27608733001063</v>
      </c>
      <c r="AK60" s="20">
        <f>IF($D$2="JA",Dashboard!$K$27-$AH$11+AH60,Dashboard!$K$27)</f>
        <v>2.5300000000000003E-2</v>
      </c>
      <c r="AL60" s="27">
        <f t="shared" si="0"/>
        <v>0</v>
      </c>
      <c r="AM60" s="20">
        <f>IF($D$2="JA",Dashboard!$K$28-$AH$11+AH60,Dashboard!$K$28)</f>
        <v>2.5300000000000003E-2</v>
      </c>
      <c r="AN60" s="27">
        <f t="shared" si="1"/>
        <v>0</v>
      </c>
      <c r="AO60" s="63">
        <f>Tabel2[[#This Row],[Aflossing]]+V60</f>
        <v>412.1256421594116</v>
      </c>
      <c r="AP60" s="63">
        <f t="shared" si="10"/>
        <v>381.27608733001063</v>
      </c>
      <c r="AQ60" s="2">
        <f t="shared" si="11"/>
        <v>404.80378331535536</v>
      </c>
      <c r="AU60" s="20"/>
      <c r="AV60" s="20"/>
    </row>
    <row r="61" spans="1:48">
      <c r="A61" s="71">
        <v>50</v>
      </c>
      <c r="B61" s="77">
        <f t="shared" si="12"/>
        <v>180430.28732069148</v>
      </c>
      <c r="C61" s="73">
        <f>B61/Dashboard!$I$25</f>
        <v>0.72172114928276587</v>
      </c>
      <c r="D61" s="74">
        <f t="shared" si="2"/>
        <v>1.5E-3</v>
      </c>
      <c r="E61" s="73">
        <f>IF($D$2="JA",Dashboard!$K$26-$D$11+D61,Dashboard!$K$26)</f>
        <v>2.5300000000000003E-2</v>
      </c>
      <c r="F61" s="72">
        <f t="shared" si="3"/>
        <v>380.40718910112463</v>
      </c>
      <c r="G61" s="72">
        <f t="shared" si="13"/>
        <v>412.99454038829771</v>
      </c>
      <c r="H61" s="72">
        <f>IFERROR(-PMT(E61^1/12,Dashboard!$I$30-A61,B61),0)</f>
        <v>793.40172948942234</v>
      </c>
      <c r="I61" s="75">
        <f t="shared" si="4"/>
        <v>793.40172948942234</v>
      </c>
      <c r="J61" s="76">
        <f t="shared" si="14"/>
        <v>180851.14330582248</v>
      </c>
      <c r="K61" s="76">
        <f>J61*Dashboard!$K$26/12</f>
        <v>403.90088671633686</v>
      </c>
      <c r="L61" s="76">
        <f t="shared" si="5"/>
        <v>405.1849558610183</v>
      </c>
      <c r="M61" s="76">
        <f>IF(H61=0,0,IFERROR(-PMT(Dashboard!$K$26^1/12,Dashboard!$I$30,Dashboard!$I$26),0))</f>
        <v>809.08584257735515</v>
      </c>
      <c r="P61" s="59">
        <v>50</v>
      </c>
      <c r="Q61" s="28">
        <f t="shared" si="6"/>
        <v>0</v>
      </c>
      <c r="R61" s="20">
        <f>Q61/Dashboard!$I$25</f>
        <v>0</v>
      </c>
      <c r="S61" s="20">
        <f t="shared" si="15"/>
        <v>0</v>
      </c>
      <c r="T61" s="20">
        <f>IF($D$2="JA",Dashboard!$K$27-$S$11+S61,Dashboard!$K$27)</f>
        <v>2.6800000000000001E-2</v>
      </c>
      <c r="U61" s="27">
        <f t="shared" si="7"/>
        <v>0</v>
      </c>
      <c r="V61" s="26">
        <f>IF(Q61&lt;=1,0,Dashboard!$I$27/Dashboard!$I$30)</f>
        <v>0</v>
      </c>
      <c r="W61" s="28">
        <f>Q61*Dashboard!$K$27/12</f>
        <v>0</v>
      </c>
      <c r="Y61" s="59">
        <v>50</v>
      </c>
      <c r="Z61" s="67">
        <f>Dashboard!$I$28</f>
        <v>0</v>
      </c>
      <c r="AA61" s="64">
        <f>IF(Z61&lt;=1,0,Dashboard!$I$30-Y61)</f>
        <v>0</v>
      </c>
      <c r="AB61" s="64">
        <f t="shared" si="8"/>
        <v>0</v>
      </c>
      <c r="AC61" s="1">
        <f>Dashboard!$K$28</f>
        <v>2.6800000000000001E-2</v>
      </c>
      <c r="AD61" s="28">
        <f t="shared" si="9"/>
        <v>0</v>
      </c>
      <c r="AF61" s="2">
        <f t="shared" si="16"/>
        <v>180430.28732069148</v>
      </c>
      <c r="AG61" s="62">
        <f>(B61+Q61+Z61)/Dashboard!$I$25</f>
        <v>0.72172114928276587</v>
      </c>
      <c r="AH61" s="20">
        <f t="shared" si="17"/>
        <v>1.5E-3</v>
      </c>
      <c r="AI61" s="20">
        <f>IF($D$2="JA",Dashboard!$K$26-$AH$11+AH61,Dashboard!$K$26)</f>
        <v>2.5300000000000003E-2</v>
      </c>
      <c r="AJ61" s="27">
        <f>Tabel2[[#This Row],[Schuldrest]]*AI61/12</f>
        <v>380.40718910112463</v>
      </c>
      <c r="AK61" s="20">
        <f>IF($D$2="JA",Dashboard!$K$27-$AH$11+AH61,Dashboard!$K$27)</f>
        <v>2.5300000000000003E-2</v>
      </c>
      <c r="AL61" s="27">
        <f t="shared" si="0"/>
        <v>0</v>
      </c>
      <c r="AM61" s="20">
        <f>IF($D$2="JA",Dashboard!$K$28-$AH$11+AH61,Dashboard!$K$28)</f>
        <v>2.5300000000000003E-2</v>
      </c>
      <c r="AN61" s="27">
        <f t="shared" si="1"/>
        <v>0</v>
      </c>
      <c r="AO61" s="63">
        <f>Tabel2[[#This Row],[Aflossing]]+V61</f>
        <v>412.99454038829771</v>
      </c>
      <c r="AP61" s="63">
        <f t="shared" si="10"/>
        <v>380.40718910112463</v>
      </c>
      <c r="AQ61" s="2">
        <f t="shared" si="11"/>
        <v>403.90088671633686</v>
      </c>
      <c r="AU61" s="20"/>
      <c r="AV61" s="20"/>
    </row>
    <row r="62" spans="1:48">
      <c r="A62" s="71">
        <v>51</v>
      </c>
      <c r="B62" s="77">
        <f t="shared" si="12"/>
        <v>180017.29278030319</v>
      </c>
      <c r="C62" s="73">
        <f>B62/Dashboard!$I$25</f>
        <v>0.72006917112121283</v>
      </c>
      <c r="D62" s="74">
        <f t="shared" si="2"/>
        <v>1.5E-3</v>
      </c>
      <c r="E62" s="73">
        <f>IF($D$2="JA",Dashboard!$K$26-$D$11+D62,Dashboard!$K$26)</f>
        <v>2.5300000000000003E-2</v>
      </c>
      <c r="F62" s="72">
        <f t="shared" si="3"/>
        <v>379.53645894513926</v>
      </c>
      <c r="G62" s="72">
        <f t="shared" si="13"/>
        <v>413.86527054428319</v>
      </c>
      <c r="H62" s="72">
        <f>IFERROR(-PMT(E62^1/12,Dashboard!$I$30-A62,B62),0)</f>
        <v>793.40172948942245</v>
      </c>
      <c r="I62" s="75">
        <f t="shared" si="4"/>
        <v>793.40172948942245</v>
      </c>
      <c r="J62" s="76">
        <f t="shared" si="14"/>
        <v>180445.95834996147</v>
      </c>
      <c r="K62" s="76">
        <f>J62*Dashboard!$K$26/12</f>
        <v>402.99597364824734</v>
      </c>
      <c r="L62" s="76">
        <f t="shared" si="5"/>
        <v>406.08986892910781</v>
      </c>
      <c r="M62" s="76">
        <f>IF(H62=0,0,IFERROR(-PMT(Dashboard!$K$26^1/12,Dashboard!$I$30,Dashboard!$I$26),0))</f>
        <v>809.08584257735515</v>
      </c>
      <c r="P62" s="59">
        <v>51</v>
      </c>
      <c r="Q62" s="28">
        <f t="shared" si="6"/>
        <v>0</v>
      </c>
      <c r="R62" s="20">
        <f>Q62/Dashboard!$I$25</f>
        <v>0</v>
      </c>
      <c r="S62" s="20">
        <f t="shared" si="15"/>
        <v>0</v>
      </c>
      <c r="T62" s="20">
        <f>IF($D$2="JA",Dashboard!$K$27-$S$11+S62,Dashboard!$K$27)</f>
        <v>2.6800000000000001E-2</v>
      </c>
      <c r="U62" s="27">
        <f t="shared" si="7"/>
        <v>0</v>
      </c>
      <c r="V62" s="26">
        <f>IF(Q62&lt;=1,0,Dashboard!$I$27/Dashboard!$I$30)</f>
        <v>0</v>
      </c>
      <c r="W62" s="28">
        <f>Q62*Dashboard!$K$27/12</f>
        <v>0</v>
      </c>
      <c r="Y62" s="59">
        <v>51</v>
      </c>
      <c r="Z62" s="67">
        <f>Dashboard!$I$28</f>
        <v>0</v>
      </c>
      <c r="AA62" s="64">
        <f>IF(Z62&lt;=1,0,Dashboard!$I$30-Y62)</f>
        <v>0</v>
      </c>
      <c r="AB62" s="64">
        <f t="shared" si="8"/>
        <v>0</v>
      </c>
      <c r="AC62" s="1">
        <f>Dashboard!$K$28</f>
        <v>2.6800000000000001E-2</v>
      </c>
      <c r="AD62" s="28">
        <f t="shared" si="9"/>
        <v>0</v>
      </c>
      <c r="AF62" s="2">
        <f t="shared" si="16"/>
        <v>180017.29278030319</v>
      </c>
      <c r="AG62" s="62">
        <f>(B62+Q62+Z62)/Dashboard!$I$25</f>
        <v>0.72006917112121283</v>
      </c>
      <c r="AH62" s="20">
        <f t="shared" si="17"/>
        <v>1.5E-3</v>
      </c>
      <c r="AI62" s="20">
        <f>IF($D$2="JA",Dashboard!$K$26-$AH$11+AH62,Dashboard!$K$26)</f>
        <v>2.5300000000000003E-2</v>
      </c>
      <c r="AJ62" s="27">
        <f>Tabel2[[#This Row],[Schuldrest]]*AI62/12</f>
        <v>379.53645894513926</v>
      </c>
      <c r="AK62" s="20">
        <f>IF($D$2="JA",Dashboard!$K$27-$AH$11+AH62,Dashboard!$K$27)</f>
        <v>2.5300000000000003E-2</v>
      </c>
      <c r="AL62" s="27">
        <f t="shared" si="0"/>
        <v>0</v>
      </c>
      <c r="AM62" s="20">
        <f>IF($D$2="JA",Dashboard!$K$28-$AH$11+AH62,Dashboard!$K$28)</f>
        <v>2.5300000000000003E-2</v>
      </c>
      <c r="AN62" s="27">
        <f t="shared" si="1"/>
        <v>0</v>
      </c>
      <c r="AO62" s="63">
        <f>Tabel2[[#This Row],[Aflossing]]+V62</f>
        <v>413.86527054428319</v>
      </c>
      <c r="AP62" s="63">
        <f t="shared" si="10"/>
        <v>379.53645894513926</v>
      </c>
      <c r="AQ62" s="2">
        <f t="shared" si="11"/>
        <v>402.99597364824734</v>
      </c>
      <c r="AU62" s="20"/>
      <c r="AV62" s="20"/>
    </row>
    <row r="63" spans="1:48">
      <c r="A63" s="71">
        <v>52</v>
      </c>
      <c r="B63" s="77">
        <f t="shared" si="12"/>
        <v>179603.42750975891</v>
      </c>
      <c r="C63" s="73">
        <f>B63/Dashboard!$I$25</f>
        <v>0.71841371003903565</v>
      </c>
      <c r="D63" s="74">
        <f t="shared" si="2"/>
        <v>1.5E-3</v>
      </c>
      <c r="E63" s="73">
        <f>IF($D$2="JA",Dashboard!$K$26-$D$11+D63,Dashboard!$K$26)</f>
        <v>2.5300000000000003E-2</v>
      </c>
      <c r="F63" s="72">
        <f t="shared" si="3"/>
        <v>378.66389299974179</v>
      </c>
      <c r="G63" s="72">
        <f t="shared" si="13"/>
        <v>414.73783648968066</v>
      </c>
      <c r="H63" s="72">
        <f>IFERROR(-PMT(E63^1/12,Dashboard!$I$30-A63,B63),0)</f>
        <v>793.40172948942245</v>
      </c>
      <c r="I63" s="75">
        <f t="shared" si="4"/>
        <v>793.40172948942245</v>
      </c>
      <c r="J63" s="76">
        <f t="shared" si="14"/>
        <v>180039.86848103235</v>
      </c>
      <c r="K63" s="76">
        <f>J63*Dashboard!$K$26/12</f>
        <v>402.08903960763888</v>
      </c>
      <c r="L63" s="76">
        <f t="shared" si="5"/>
        <v>406.99680296971627</v>
      </c>
      <c r="M63" s="76">
        <f>IF(H63=0,0,IFERROR(-PMT(Dashboard!$K$26^1/12,Dashboard!$I$30,Dashboard!$I$26),0))</f>
        <v>809.08584257735515</v>
      </c>
      <c r="P63" s="59">
        <v>52</v>
      </c>
      <c r="Q63" s="28">
        <f t="shared" si="6"/>
        <v>0</v>
      </c>
      <c r="R63" s="20">
        <f>Q63/Dashboard!$I$25</f>
        <v>0</v>
      </c>
      <c r="S63" s="20">
        <f t="shared" si="15"/>
        <v>0</v>
      </c>
      <c r="T63" s="20">
        <f>IF($D$2="JA",Dashboard!$K$27-$S$11+S63,Dashboard!$K$27)</f>
        <v>2.6800000000000001E-2</v>
      </c>
      <c r="U63" s="27">
        <f t="shared" si="7"/>
        <v>0</v>
      </c>
      <c r="V63" s="26">
        <f>IF(Q63&lt;=1,0,Dashboard!$I$27/Dashboard!$I$30)</f>
        <v>0</v>
      </c>
      <c r="W63" s="28">
        <f>Q63*Dashboard!$K$27/12</f>
        <v>0</v>
      </c>
      <c r="Y63" s="59">
        <v>52</v>
      </c>
      <c r="Z63" s="67">
        <f>Dashboard!$I$28</f>
        <v>0</v>
      </c>
      <c r="AA63" s="64">
        <f>IF(Z63&lt;=1,0,Dashboard!$I$30-Y63)</f>
        <v>0</v>
      </c>
      <c r="AB63" s="64">
        <f t="shared" si="8"/>
        <v>0</v>
      </c>
      <c r="AC63" s="1">
        <f>Dashboard!$K$28</f>
        <v>2.6800000000000001E-2</v>
      </c>
      <c r="AD63" s="28">
        <f t="shared" si="9"/>
        <v>0</v>
      </c>
      <c r="AF63" s="2">
        <f t="shared" si="16"/>
        <v>179603.42750975891</v>
      </c>
      <c r="AG63" s="62">
        <f>(B63+Q63+Z63)/Dashboard!$I$25</f>
        <v>0.71841371003903565</v>
      </c>
      <c r="AH63" s="20">
        <f t="shared" si="17"/>
        <v>1.5E-3</v>
      </c>
      <c r="AI63" s="20">
        <f>IF($D$2="JA",Dashboard!$K$26-$AH$11+AH63,Dashboard!$K$26)</f>
        <v>2.5300000000000003E-2</v>
      </c>
      <c r="AJ63" s="27">
        <f>Tabel2[[#This Row],[Schuldrest]]*AI63/12</f>
        <v>378.66389299974179</v>
      </c>
      <c r="AK63" s="20">
        <f>IF($D$2="JA",Dashboard!$K$27-$AH$11+AH63,Dashboard!$K$27)</f>
        <v>2.5300000000000003E-2</v>
      </c>
      <c r="AL63" s="27">
        <f t="shared" si="0"/>
        <v>0</v>
      </c>
      <c r="AM63" s="20">
        <f>IF($D$2="JA",Dashboard!$K$28-$AH$11+AH63,Dashboard!$K$28)</f>
        <v>2.5300000000000003E-2</v>
      </c>
      <c r="AN63" s="27">
        <f t="shared" si="1"/>
        <v>0</v>
      </c>
      <c r="AO63" s="63">
        <f>Tabel2[[#This Row],[Aflossing]]+V63</f>
        <v>414.73783648968066</v>
      </c>
      <c r="AP63" s="63">
        <f t="shared" si="10"/>
        <v>378.66389299974179</v>
      </c>
      <c r="AQ63" s="2">
        <f t="shared" si="11"/>
        <v>402.08903960763888</v>
      </c>
      <c r="AU63" s="20"/>
      <c r="AV63" s="20"/>
    </row>
    <row r="64" spans="1:48">
      <c r="A64" s="71">
        <v>53</v>
      </c>
      <c r="B64" s="77">
        <f t="shared" si="12"/>
        <v>179188.68967326923</v>
      </c>
      <c r="C64" s="73">
        <f>B64/Dashboard!$I$25</f>
        <v>0.71675475869307692</v>
      </c>
      <c r="D64" s="74">
        <f t="shared" si="2"/>
        <v>1.5E-3</v>
      </c>
      <c r="E64" s="73">
        <f>IF($D$2="JA",Dashboard!$K$26-$D$11+D64,Dashboard!$K$26)</f>
        <v>2.5300000000000003E-2</v>
      </c>
      <c r="F64" s="72">
        <f t="shared" si="3"/>
        <v>377.789487394476</v>
      </c>
      <c r="G64" s="72">
        <f t="shared" si="13"/>
        <v>415.61224209494634</v>
      </c>
      <c r="H64" s="72">
        <f>IFERROR(-PMT(E64^1/12,Dashboard!$I$30-A64,B64),0)</f>
        <v>793.40172948942234</v>
      </c>
      <c r="I64" s="75">
        <f t="shared" si="4"/>
        <v>793.40172948942234</v>
      </c>
      <c r="J64" s="76">
        <f t="shared" si="14"/>
        <v>179632.87167806263</v>
      </c>
      <c r="K64" s="76">
        <f>J64*Dashboard!$K$26/12</f>
        <v>401.18008008100657</v>
      </c>
      <c r="L64" s="76">
        <f t="shared" si="5"/>
        <v>407.90576249634859</v>
      </c>
      <c r="M64" s="76">
        <f>IF(H64=0,0,IFERROR(-PMT(Dashboard!$K$26^1/12,Dashboard!$I$30,Dashboard!$I$26),0))</f>
        <v>809.08584257735515</v>
      </c>
      <c r="P64" s="59">
        <v>53</v>
      </c>
      <c r="Q64" s="28">
        <f t="shared" si="6"/>
        <v>0</v>
      </c>
      <c r="R64" s="20">
        <f>Q64/Dashboard!$I$25</f>
        <v>0</v>
      </c>
      <c r="S64" s="20">
        <f t="shared" si="15"/>
        <v>0</v>
      </c>
      <c r="T64" s="20">
        <f>IF($D$2="JA",Dashboard!$K$27-$S$11+S64,Dashboard!$K$27)</f>
        <v>2.6800000000000001E-2</v>
      </c>
      <c r="U64" s="27">
        <f t="shared" si="7"/>
        <v>0</v>
      </c>
      <c r="V64" s="26">
        <f>IF(Q64&lt;=1,0,Dashboard!$I$27/Dashboard!$I$30)</f>
        <v>0</v>
      </c>
      <c r="W64" s="28">
        <f>Q64*Dashboard!$K$27/12</f>
        <v>0</v>
      </c>
      <c r="Y64" s="59">
        <v>53</v>
      </c>
      <c r="Z64" s="67">
        <f>Dashboard!$I$28</f>
        <v>0</v>
      </c>
      <c r="AA64" s="64">
        <f>IF(Z64&lt;=1,0,Dashboard!$I$30-Y64)</f>
        <v>0</v>
      </c>
      <c r="AB64" s="64">
        <f t="shared" si="8"/>
        <v>0</v>
      </c>
      <c r="AC64" s="1">
        <f>Dashboard!$K$28</f>
        <v>2.6800000000000001E-2</v>
      </c>
      <c r="AD64" s="28">
        <f t="shared" si="9"/>
        <v>0</v>
      </c>
      <c r="AF64" s="2">
        <f t="shared" si="16"/>
        <v>179188.68967326923</v>
      </c>
      <c r="AG64" s="62">
        <f>(B64+Q64+Z64)/Dashboard!$I$25</f>
        <v>0.71675475869307692</v>
      </c>
      <c r="AH64" s="20">
        <f t="shared" si="17"/>
        <v>1.5E-3</v>
      </c>
      <c r="AI64" s="20">
        <f>IF($D$2="JA",Dashboard!$K$26-$AH$11+AH64,Dashboard!$K$26)</f>
        <v>2.5300000000000003E-2</v>
      </c>
      <c r="AJ64" s="27">
        <f>Tabel2[[#This Row],[Schuldrest]]*AI64/12</f>
        <v>377.789487394476</v>
      </c>
      <c r="AK64" s="20">
        <f>IF($D$2="JA",Dashboard!$K$27-$AH$11+AH64,Dashboard!$K$27)</f>
        <v>2.5300000000000003E-2</v>
      </c>
      <c r="AL64" s="27">
        <f t="shared" si="0"/>
        <v>0</v>
      </c>
      <c r="AM64" s="20">
        <f>IF($D$2="JA",Dashboard!$K$28-$AH$11+AH64,Dashboard!$K$28)</f>
        <v>2.5300000000000003E-2</v>
      </c>
      <c r="AN64" s="27">
        <f t="shared" si="1"/>
        <v>0</v>
      </c>
      <c r="AO64" s="63">
        <f>Tabel2[[#This Row],[Aflossing]]+V64</f>
        <v>415.61224209494634</v>
      </c>
      <c r="AP64" s="63">
        <f t="shared" si="10"/>
        <v>377.789487394476</v>
      </c>
      <c r="AQ64" s="2">
        <f t="shared" si="11"/>
        <v>401.18008008100657</v>
      </c>
      <c r="AU64" s="20"/>
      <c r="AV64" s="20"/>
    </row>
    <row r="65" spans="1:48">
      <c r="A65" s="71">
        <v>54</v>
      </c>
      <c r="B65" s="77">
        <f t="shared" si="12"/>
        <v>178773.07743117429</v>
      </c>
      <c r="C65" s="73">
        <f>B65/Dashboard!$I$25</f>
        <v>0.71509230972469717</v>
      </c>
      <c r="D65" s="74">
        <f t="shared" si="2"/>
        <v>1.5E-3</v>
      </c>
      <c r="E65" s="73">
        <f>IF($D$2="JA",Dashboard!$K$26-$D$11+D65,Dashboard!$K$26)</f>
        <v>2.5300000000000003E-2</v>
      </c>
      <c r="F65" s="72">
        <f t="shared" si="3"/>
        <v>376.91323825072578</v>
      </c>
      <c r="G65" s="72">
        <f t="shared" si="13"/>
        <v>416.48849123869667</v>
      </c>
      <c r="H65" s="72">
        <f>IFERROR(-PMT(E65^1/12,Dashboard!$I$30-A65,B65),0)</f>
        <v>793.40172948942245</v>
      </c>
      <c r="I65" s="75">
        <f t="shared" si="4"/>
        <v>793.40172948942245</v>
      </c>
      <c r="J65" s="76">
        <f t="shared" si="14"/>
        <v>179224.96591556628</v>
      </c>
      <c r="K65" s="76">
        <f>J65*Dashboard!$K$26/12</f>
        <v>400.26909054476465</v>
      </c>
      <c r="L65" s="76">
        <f t="shared" si="5"/>
        <v>408.8167520325905</v>
      </c>
      <c r="M65" s="76">
        <f>IF(H65=0,0,IFERROR(-PMT(Dashboard!$K$26^1/12,Dashboard!$I$30,Dashboard!$I$26),0))</f>
        <v>809.08584257735515</v>
      </c>
      <c r="P65" s="59">
        <v>54</v>
      </c>
      <c r="Q65" s="28">
        <f t="shared" si="6"/>
        <v>0</v>
      </c>
      <c r="R65" s="20">
        <f>Q65/Dashboard!$I$25</f>
        <v>0</v>
      </c>
      <c r="S65" s="20">
        <f t="shared" si="15"/>
        <v>0</v>
      </c>
      <c r="T65" s="20">
        <f>IF($D$2="JA",Dashboard!$K$27-$S$11+S65,Dashboard!$K$27)</f>
        <v>2.6800000000000001E-2</v>
      </c>
      <c r="U65" s="27">
        <f t="shared" si="7"/>
        <v>0</v>
      </c>
      <c r="V65" s="26">
        <f>IF(Q65&lt;=1,0,Dashboard!$I$27/Dashboard!$I$30)</f>
        <v>0</v>
      </c>
      <c r="W65" s="28">
        <f>Q65*Dashboard!$K$27/12</f>
        <v>0</v>
      </c>
      <c r="Y65" s="59">
        <v>54</v>
      </c>
      <c r="Z65" s="67">
        <f>Dashboard!$I$28</f>
        <v>0</v>
      </c>
      <c r="AA65" s="64">
        <f>IF(Z65&lt;=1,0,Dashboard!$I$30-Y65)</f>
        <v>0</v>
      </c>
      <c r="AB65" s="64">
        <f t="shared" si="8"/>
        <v>0</v>
      </c>
      <c r="AC65" s="1">
        <f>Dashboard!$K$28</f>
        <v>2.6800000000000001E-2</v>
      </c>
      <c r="AD65" s="28">
        <f t="shared" si="9"/>
        <v>0</v>
      </c>
      <c r="AF65" s="2">
        <f t="shared" si="16"/>
        <v>178773.07743117429</v>
      </c>
      <c r="AG65" s="62">
        <f>(B65+Q65+Z65)/Dashboard!$I$25</f>
        <v>0.71509230972469717</v>
      </c>
      <c r="AH65" s="20">
        <f t="shared" si="17"/>
        <v>1.5E-3</v>
      </c>
      <c r="AI65" s="20">
        <f>IF($D$2="JA",Dashboard!$K$26-$AH$11+AH65,Dashboard!$K$26)</f>
        <v>2.5300000000000003E-2</v>
      </c>
      <c r="AJ65" s="27">
        <f>Tabel2[[#This Row],[Schuldrest]]*AI65/12</f>
        <v>376.91323825072578</v>
      </c>
      <c r="AK65" s="20">
        <f>IF($D$2="JA",Dashboard!$K$27-$AH$11+AH65,Dashboard!$K$27)</f>
        <v>2.5300000000000003E-2</v>
      </c>
      <c r="AL65" s="27">
        <f t="shared" si="0"/>
        <v>0</v>
      </c>
      <c r="AM65" s="20">
        <f>IF($D$2="JA",Dashboard!$K$28-$AH$11+AH65,Dashboard!$K$28)</f>
        <v>2.5300000000000003E-2</v>
      </c>
      <c r="AN65" s="27">
        <f t="shared" si="1"/>
        <v>0</v>
      </c>
      <c r="AO65" s="63">
        <f>Tabel2[[#This Row],[Aflossing]]+V65</f>
        <v>416.48849123869667</v>
      </c>
      <c r="AP65" s="63">
        <f t="shared" si="10"/>
        <v>376.91323825072578</v>
      </c>
      <c r="AQ65" s="2">
        <f t="shared" si="11"/>
        <v>400.26909054476465</v>
      </c>
      <c r="AU65" s="20"/>
      <c r="AV65" s="20"/>
    </row>
    <row r="66" spans="1:48">
      <c r="A66" s="71">
        <v>55</v>
      </c>
      <c r="B66" s="77">
        <f t="shared" si="12"/>
        <v>178356.58893993558</v>
      </c>
      <c r="C66" s="73">
        <f>B66/Dashboard!$I$25</f>
        <v>0.71342635575974234</v>
      </c>
      <c r="D66" s="74">
        <f t="shared" si="2"/>
        <v>1.5E-3</v>
      </c>
      <c r="E66" s="73">
        <f>IF($D$2="JA",Dashboard!$K$26-$D$11+D66,Dashboard!$K$26)</f>
        <v>2.5300000000000003E-2</v>
      </c>
      <c r="F66" s="72">
        <f t="shared" si="3"/>
        <v>376.03514168169755</v>
      </c>
      <c r="G66" s="72">
        <f t="shared" si="13"/>
        <v>417.36658780772478</v>
      </c>
      <c r="H66" s="72">
        <f>IFERROR(-PMT(E66^1/12,Dashboard!$I$30-A66,B66),0)</f>
        <v>793.40172948942234</v>
      </c>
      <c r="I66" s="75">
        <f t="shared" si="4"/>
        <v>793.40172948942234</v>
      </c>
      <c r="J66" s="76">
        <f t="shared" si="14"/>
        <v>178816.1491635337</v>
      </c>
      <c r="K66" s="76">
        <f>J66*Dashboard!$K$26/12</f>
        <v>399.3560664652253</v>
      </c>
      <c r="L66" s="76">
        <f t="shared" si="5"/>
        <v>409.72977611212985</v>
      </c>
      <c r="M66" s="76">
        <f>IF(H66=0,0,IFERROR(-PMT(Dashboard!$K$26^1/12,Dashboard!$I$30,Dashboard!$I$26),0))</f>
        <v>809.08584257735515</v>
      </c>
      <c r="P66" s="59">
        <v>55</v>
      </c>
      <c r="Q66" s="28">
        <f t="shared" si="6"/>
        <v>0</v>
      </c>
      <c r="R66" s="20">
        <f>Q66/Dashboard!$I$25</f>
        <v>0</v>
      </c>
      <c r="S66" s="20">
        <f t="shared" si="15"/>
        <v>0</v>
      </c>
      <c r="T66" s="20">
        <f>IF($D$2="JA",Dashboard!$K$27-$S$11+S66,Dashboard!$K$27)</f>
        <v>2.6800000000000001E-2</v>
      </c>
      <c r="U66" s="27">
        <f t="shared" si="7"/>
        <v>0</v>
      </c>
      <c r="V66" s="26">
        <f>IF(Q66&lt;=1,0,Dashboard!$I$27/Dashboard!$I$30)</f>
        <v>0</v>
      </c>
      <c r="W66" s="28">
        <f>Q66*Dashboard!$K$27/12</f>
        <v>0</v>
      </c>
      <c r="Y66" s="59">
        <v>55</v>
      </c>
      <c r="Z66" s="67">
        <f>Dashboard!$I$28</f>
        <v>0</v>
      </c>
      <c r="AA66" s="64">
        <f>IF(Z66&lt;=1,0,Dashboard!$I$30-Y66)</f>
        <v>0</v>
      </c>
      <c r="AB66" s="64">
        <f t="shared" si="8"/>
        <v>0</v>
      </c>
      <c r="AC66" s="1">
        <f>Dashboard!$K$28</f>
        <v>2.6800000000000001E-2</v>
      </c>
      <c r="AD66" s="28">
        <f t="shared" si="9"/>
        <v>0</v>
      </c>
      <c r="AF66" s="2">
        <f t="shared" si="16"/>
        <v>178356.58893993558</v>
      </c>
      <c r="AG66" s="62">
        <f>(B66+Q66+Z66)/Dashboard!$I$25</f>
        <v>0.71342635575974234</v>
      </c>
      <c r="AH66" s="20">
        <f t="shared" si="17"/>
        <v>1.5E-3</v>
      </c>
      <c r="AI66" s="20">
        <f>IF($D$2="JA",Dashboard!$K$26-$AH$11+AH66,Dashboard!$K$26)</f>
        <v>2.5300000000000003E-2</v>
      </c>
      <c r="AJ66" s="27">
        <f>Tabel2[[#This Row],[Schuldrest]]*AI66/12</f>
        <v>376.03514168169755</v>
      </c>
      <c r="AK66" s="20">
        <f>IF($D$2="JA",Dashboard!$K$27-$AH$11+AH66,Dashboard!$K$27)</f>
        <v>2.5300000000000003E-2</v>
      </c>
      <c r="AL66" s="27">
        <f t="shared" si="0"/>
        <v>0</v>
      </c>
      <c r="AM66" s="20">
        <f>IF($D$2="JA",Dashboard!$K$28-$AH$11+AH66,Dashboard!$K$28)</f>
        <v>2.5300000000000003E-2</v>
      </c>
      <c r="AN66" s="27">
        <f t="shared" si="1"/>
        <v>0</v>
      </c>
      <c r="AO66" s="63">
        <f>Tabel2[[#This Row],[Aflossing]]+V66</f>
        <v>417.36658780772478</v>
      </c>
      <c r="AP66" s="63">
        <f t="shared" si="10"/>
        <v>376.03514168169755</v>
      </c>
      <c r="AQ66" s="2">
        <f t="shared" si="11"/>
        <v>399.3560664652253</v>
      </c>
      <c r="AU66" s="20"/>
      <c r="AV66" s="20"/>
    </row>
    <row r="67" spans="1:48">
      <c r="A67" s="71">
        <v>56</v>
      </c>
      <c r="B67" s="77">
        <f t="shared" si="12"/>
        <v>177939.22235212786</v>
      </c>
      <c r="C67" s="73">
        <f>B67/Dashboard!$I$25</f>
        <v>0.71175688940851145</v>
      </c>
      <c r="D67" s="74">
        <f t="shared" si="2"/>
        <v>1.5E-3</v>
      </c>
      <c r="E67" s="73">
        <f>IF($D$2="JA",Dashboard!$K$26-$D$11+D67,Dashboard!$K$26)</f>
        <v>2.5300000000000003E-2</v>
      </c>
      <c r="F67" s="72">
        <f t="shared" si="3"/>
        <v>375.155193792403</v>
      </c>
      <c r="G67" s="72">
        <f t="shared" si="13"/>
        <v>418.24653569701945</v>
      </c>
      <c r="H67" s="72">
        <f>IFERROR(-PMT(E67^1/12,Dashboard!$I$30-A67,B67),0)</f>
        <v>793.40172948942245</v>
      </c>
      <c r="I67" s="75">
        <f t="shared" si="4"/>
        <v>793.40172948942245</v>
      </c>
      <c r="J67" s="76">
        <f t="shared" si="14"/>
        <v>178406.41938742157</v>
      </c>
      <c r="K67" s="76">
        <f>J67*Dashboard!$K$26/12</f>
        <v>398.4410032985748</v>
      </c>
      <c r="L67" s="76">
        <f t="shared" si="5"/>
        <v>410.64483927878035</v>
      </c>
      <c r="M67" s="76">
        <f>IF(H67=0,0,IFERROR(-PMT(Dashboard!$K$26^1/12,Dashboard!$I$30,Dashboard!$I$26),0))</f>
        <v>809.08584257735515</v>
      </c>
      <c r="P67" s="59">
        <v>56</v>
      </c>
      <c r="Q67" s="28">
        <f t="shared" si="6"/>
        <v>0</v>
      </c>
      <c r="R67" s="20">
        <f>Q67/Dashboard!$I$25</f>
        <v>0</v>
      </c>
      <c r="S67" s="20">
        <f t="shared" si="15"/>
        <v>0</v>
      </c>
      <c r="T67" s="20">
        <f>IF($D$2="JA",Dashboard!$K$27-$S$11+S67,Dashboard!$K$27)</f>
        <v>2.6800000000000001E-2</v>
      </c>
      <c r="U67" s="27">
        <f t="shared" si="7"/>
        <v>0</v>
      </c>
      <c r="V67" s="26">
        <f>IF(Q67&lt;=1,0,Dashboard!$I$27/Dashboard!$I$30)</f>
        <v>0</v>
      </c>
      <c r="W67" s="28">
        <f>Q67*Dashboard!$K$27/12</f>
        <v>0</v>
      </c>
      <c r="Y67" s="59">
        <v>56</v>
      </c>
      <c r="Z67" s="67">
        <f>Dashboard!$I$28</f>
        <v>0</v>
      </c>
      <c r="AA67" s="64">
        <f>IF(Z67&lt;=1,0,Dashboard!$I$30-Y67)</f>
        <v>0</v>
      </c>
      <c r="AB67" s="64">
        <f t="shared" si="8"/>
        <v>0</v>
      </c>
      <c r="AC67" s="1">
        <f>Dashboard!$K$28</f>
        <v>2.6800000000000001E-2</v>
      </c>
      <c r="AD67" s="28">
        <f t="shared" si="9"/>
        <v>0</v>
      </c>
      <c r="AF67" s="2">
        <f t="shared" si="16"/>
        <v>177939.22235212786</v>
      </c>
      <c r="AG67" s="62">
        <f>(B67+Q67+Z67)/Dashboard!$I$25</f>
        <v>0.71175688940851145</v>
      </c>
      <c r="AH67" s="20">
        <f t="shared" si="17"/>
        <v>1.5E-3</v>
      </c>
      <c r="AI67" s="20">
        <f>IF($D$2="JA",Dashboard!$K$26-$AH$11+AH67,Dashboard!$K$26)</f>
        <v>2.5300000000000003E-2</v>
      </c>
      <c r="AJ67" s="27">
        <f>Tabel2[[#This Row],[Schuldrest]]*AI67/12</f>
        <v>375.155193792403</v>
      </c>
      <c r="AK67" s="20">
        <f>IF($D$2="JA",Dashboard!$K$27-$AH$11+AH67,Dashboard!$K$27)</f>
        <v>2.5300000000000003E-2</v>
      </c>
      <c r="AL67" s="27">
        <f t="shared" si="0"/>
        <v>0</v>
      </c>
      <c r="AM67" s="20">
        <f>IF($D$2="JA",Dashboard!$K$28-$AH$11+AH67,Dashboard!$K$28)</f>
        <v>2.5300000000000003E-2</v>
      </c>
      <c r="AN67" s="27">
        <f t="shared" si="1"/>
        <v>0</v>
      </c>
      <c r="AO67" s="63">
        <f>Tabel2[[#This Row],[Aflossing]]+V67</f>
        <v>418.24653569701945</v>
      </c>
      <c r="AP67" s="63">
        <f t="shared" si="10"/>
        <v>375.155193792403</v>
      </c>
      <c r="AQ67" s="2">
        <f t="shared" si="11"/>
        <v>398.4410032985748</v>
      </c>
      <c r="AU67" s="20"/>
      <c r="AV67" s="20"/>
    </row>
    <row r="68" spans="1:48">
      <c r="A68" s="71">
        <v>57</v>
      </c>
      <c r="B68" s="77">
        <f t="shared" si="12"/>
        <v>177520.97581643084</v>
      </c>
      <c r="C68" s="73">
        <f>B68/Dashboard!$I$25</f>
        <v>0.71008390326572335</v>
      </c>
      <c r="D68" s="74">
        <f t="shared" si="2"/>
        <v>1.5E-3</v>
      </c>
      <c r="E68" s="73">
        <f>IF($D$2="JA",Dashboard!$K$26-$D$11+D68,Dashboard!$K$26)</f>
        <v>2.5300000000000003E-2</v>
      </c>
      <c r="F68" s="72">
        <f t="shared" si="3"/>
        <v>374.27339067964175</v>
      </c>
      <c r="G68" s="72">
        <f t="shared" si="13"/>
        <v>419.1283388097807</v>
      </c>
      <c r="H68" s="72">
        <f>IFERROR(-PMT(E68^1/12,Dashboard!$I$30-A68,B68),0)</f>
        <v>793.40172948942245</v>
      </c>
      <c r="I68" s="75">
        <f t="shared" si="4"/>
        <v>793.40172948942245</v>
      </c>
      <c r="J68" s="76">
        <f t="shared" si="14"/>
        <v>177995.7745481428</v>
      </c>
      <c r="K68" s="76">
        <f>J68*Dashboard!$K$26/12</f>
        <v>397.52389649085222</v>
      </c>
      <c r="L68" s="76">
        <f t="shared" si="5"/>
        <v>411.56194608650293</v>
      </c>
      <c r="M68" s="76">
        <f>IF(H68=0,0,IFERROR(-PMT(Dashboard!$K$26^1/12,Dashboard!$I$30,Dashboard!$I$26),0))</f>
        <v>809.08584257735515</v>
      </c>
      <c r="P68" s="59">
        <v>57</v>
      </c>
      <c r="Q68" s="28">
        <f t="shared" si="6"/>
        <v>0</v>
      </c>
      <c r="R68" s="20">
        <f>Q68/Dashboard!$I$25</f>
        <v>0</v>
      </c>
      <c r="S68" s="20">
        <f t="shared" si="15"/>
        <v>0</v>
      </c>
      <c r="T68" s="20">
        <f>IF($D$2="JA",Dashboard!$K$27-$S$11+S68,Dashboard!$K$27)</f>
        <v>2.6800000000000001E-2</v>
      </c>
      <c r="U68" s="27">
        <f t="shared" si="7"/>
        <v>0</v>
      </c>
      <c r="V68" s="26">
        <f>IF(Q68&lt;=1,0,Dashboard!$I$27/Dashboard!$I$30)</f>
        <v>0</v>
      </c>
      <c r="W68" s="28">
        <f>Q68*Dashboard!$K$27/12</f>
        <v>0</v>
      </c>
      <c r="Y68" s="59">
        <v>57</v>
      </c>
      <c r="Z68" s="67">
        <f>Dashboard!$I$28</f>
        <v>0</v>
      </c>
      <c r="AA68" s="64">
        <f>IF(Z68&lt;=1,0,Dashboard!$I$30-Y68)</f>
        <v>0</v>
      </c>
      <c r="AB68" s="64">
        <f t="shared" si="8"/>
        <v>0</v>
      </c>
      <c r="AC68" s="1">
        <f>Dashboard!$K$28</f>
        <v>2.6800000000000001E-2</v>
      </c>
      <c r="AD68" s="28">
        <f t="shared" si="9"/>
        <v>0</v>
      </c>
      <c r="AF68" s="2">
        <f t="shared" si="16"/>
        <v>177520.97581643084</v>
      </c>
      <c r="AG68" s="62">
        <f>(B68+Q68+Z68)/Dashboard!$I$25</f>
        <v>0.71008390326572335</v>
      </c>
      <c r="AH68" s="20">
        <f t="shared" si="17"/>
        <v>1.5E-3</v>
      </c>
      <c r="AI68" s="20">
        <f>IF($D$2="JA",Dashboard!$K$26-$AH$11+AH68,Dashboard!$K$26)</f>
        <v>2.5300000000000003E-2</v>
      </c>
      <c r="AJ68" s="27">
        <f>Tabel2[[#This Row],[Schuldrest]]*AI68/12</f>
        <v>374.27339067964175</v>
      </c>
      <c r="AK68" s="20">
        <f>IF($D$2="JA",Dashboard!$K$27-$AH$11+AH68,Dashboard!$K$27)</f>
        <v>2.5300000000000003E-2</v>
      </c>
      <c r="AL68" s="27">
        <f t="shared" si="0"/>
        <v>0</v>
      </c>
      <c r="AM68" s="20">
        <f>IF($D$2="JA",Dashboard!$K$28-$AH$11+AH68,Dashboard!$K$28)</f>
        <v>2.5300000000000003E-2</v>
      </c>
      <c r="AN68" s="27">
        <f t="shared" si="1"/>
        <v>0</v>
      </c>
      <c r="AO68" s="63">
        <f>Tabel2[[#This Row],[Aflossing]]+V68</f>
        <v>419.1283388097807</v>
      </c>
      <c r="AP68" s="63">
        <f t="shared" si="10"/>
        <v>374.27339067964175</v>
      </c>
      <c r="AQ68" s="2">
        <f t="shared" si="11"/>
        <v>397.52389649085222</v>
      </c>
      <c r="AU68" s="20"/>
      <c r="AV68" s="20"/>
    </row>
    <row r="69" spans="1:48">
      <c r="A69" s="71">
        <v>58</v>
      </c>
      <c r="B69" s="77">
        <f t="shared" si="12"/>
        <v>177101.84747762105</v>
      </c>
      <c r="C69" s="73">
        <f>B69/Dashboard!$I$25</f>
        <v>0.70840738991048424</v>
      </c>
      <c r="D69" s="74">
        <f t="shared" si="2"/>
        <v>1.5E-3</v>
      </c>
      <c r="E69" s="73">
        <f>IF($D$2="JA",Dashboard!$K$26-$D$11+D69,Dashboard!$K$26)</f>
        <v>2.5300000000000003E-2</v>
      </c>
      <c r="F69" s="72">
        <f t="shared" si="3"/>
        <v>373.38972843198439</v>
      </c>
      <c r="G69" s="72">
        <f t="shared" si="13"/>
        <v>420.01200105743783</v>
      </c>
      <c r="H69" s="72">
        <f>IFERROR(-PMT(E69^1/12,Dashboard!$I$30-A69,B69),0)</f>
        <v>793.40172948942222</v>
      </c>
      <c r="I69" s="75">
        <f t="shared" si="4"/>
        <v>793.40172948942222</v>
      </c>
      <c r="J69" s="76">
        <f t="shared" si="14"/>
        <v>177584.2126020563</v>
      </c>
      <c r="K69" s="76">
        <f>J69*Dashboard!$K$26/12</f>
        <v>396.60474147792576</v>
      </c>
      <c r="L69" s="76">
        <f t="shared" si="5"/>
        <v>412.4811010994294</v>
      </c>
      <c r="M69" s="76">
        <f>IF(H69=0,0,IFERROR(-PMT(Dashboard!$K$26^1/12,Dashboard!$I$30,Dashboard!$I$26),0))</f>
        <v>809.08584257735515</v>
      </c>
      <c r="P69" s="59">
        <v>58</v>
      </c>
      <c r="Q69" s="28">
        <f t="shared" si="6"/>
        <v>0</v>
      </c>
      <c r="R69" s="20">
        <f>Q69/Dashboard!$I$25</f>
        <v>0</v>
      </c>
      <c r="S69" s="20">
        <f t="shared" si="15"/>
        <v>0</v>
      </c>
      <c r="T69" s="20">
        <f>IF($D$2="JA",Dashboard!$K$27-$S$11+S69,Dashboard!$K$27)</f>
        <v>2.6800000000000001E-2</v>
      </c>
      <c r="U69" s="27">
        <f t="shared" si="7"/>
        <v>0</v>
      </c>
      <c r="V69" s="26">
        <f>IF(Q69&lt;=1,0,Dashboard!$I$27/Dashboard!$I$30)</f>
        <v>0</v>
      </c>
      <c r="W69" s="28">
        <f>Q69*Dashboard!$K$27/12</f>
        <v>0</v>
      </c>
      <c r="Y69" s="59">
        <v>58</v>
      </c>
      <c r="Z69" s="67">
        <f>Dashboard!$I$28</f>
        <v>0</v>
      </c>
      <c r="AA69" s="64">
        <f>IF(Z69&lt;=1,0,Dashboard!$I$30-Y69)</f>
        <v>0</v>
      </c>
      <c r="AB69" s="64">
        <f t="shared" si="8"/>
        <v>0</v>
      </c>
      <c r="AC69" s="1">
        <f>Dashboard!$K$28</f>
        <v>2.6800000000000001E-2</v>
      </c>
      <c r="AD69" s="28">
        <f t="shared" si="9"/>
        <v>0</v>
      </c>
      <c r="AF69" s="2">
        <f t="shared" si="16"/>
        <v>177101.84747762105</v>
      </c>
      <c r="AG69" s="62">
        <f>(B69+Q69+Z69)/Dashboard!$I$25</f>
        <v>0.70840738991048424</v>
      </c>
      <c r="AH69" s="20">
        <f t="shared" si="17"/>
        <v>1.5E-3</v>
      </c>
      <c r="AI69" s="20">
        <f>IF($D$2="JA",Dashboard!$K$26-$AH$11+AH69,Dashboard!$K$26)</f>
        <v>2.5300000000000003E-2</v>
      </c>
      <c r="AJ69" s="27">
        <f>Tabel2[[#This Row],[Schuldrest]]*AI69/12</f>
        <v>373.38972843198439</v>
      </c>
      <c r="AK69" s="20">
        <f>IF($D$2="JA",Dashboard!$K$27-$AH$11+AH69,Dashboard!$K$27)</f>
        <v>2.5300000000000003E-2</v>
      </c>
      <c r="AL69" s="27">
        <f t="shared" si="0"/>
        <v>0</v>
      </c>
      <c r="AM69" s="20">
        <f>IF($D$2="JA",Dashboard!$K$28-$AH$11+AH69,Dashboard!$K$28)</f>
        <v>2.5300000000000003E-2</v>
      </c>
      <c r="AN69" s="27">
        <f t="shared" si="1"/>
        <v>0</v>
      </c>
      <c r="AO69" s="63">
        <f>Tabel2[[#This Row],[Aflossing]]+V69</f>
        <v>420.01200105743783</v>
      </c>
      <c r="AP69" s="63">
        <f t="shared" si="10"/>
        <v>373.38972843198439</v>
      </c>
      <c r="AQ69" s="2">
        <f t="shared" si="11"/>
        <v>396.60474147792576</v>
      </c>
      <c r="AU69" s="20"/>
      <c r="AV69" s="20"/>
    </row>
    <row r="70" spans="1:48">
      <c r="A70" s="71">
        <v>59</v>
      </c>
      <c r="B70" s="77">
        <f t="shared" si="12"/>
        <v>176681.8354765636</v>
      </c>
      <c r="C70" s="73">
        <f>B70/Dashboard!$I$25</f>
        <v>0.70672734190625441</v>
      </c>
      <c r="D70" s="74">
        <f t="shared" si="2"/>
        <v>1.5E-3</v>
      </c>
      <c r="E70" s="73">
        <f>IF($D$2="JA",Dashboard!$K$26-$D$11+D70,Dashboard!$K$26)</f>
        <v>2.5300000000000003E-2</v>
      </c>
      <c r="F70" s="72">
        <f t="shared" si="3"/>
        <v>372.50420312975501</v>
      </c>
      <c r="G70" s="72">
        <f t="shared" si="13"/>
        <v>420.89752635966744</v>
      </c>
      <c r="H70" s="72">
        <f>IFERROR(-PMT(E70^1/12,Dashboard!$I$30-A70,B70),0)</f>
        <v>793.40172948942245</v>
      </c>
      <c r="I70" s="75">
        <f t="shared" si="4"/>
        <v>793.40172948942245</v>
      </c>
      <c r="J70" s="76">
        <f t="shared" si="14"/>
        <v>177171.73150095687</v>
      </c>
      <c r="K70" s="76">
        <f>J70*Dashboard!$K$26/12</f>
        <v>395.68353368547037</v>
      </c>
      <c r="L70" s="76">
        <f t="shared" si="5"/>
        <v>413.40230889188479</v>
      </c>
      <c r="M70" s="76">
        <f>IF(H70=0,0,IFERROR(-PMT(Dashboard!$K$26^1/12,Dashboard!$I$30,Dashboard!$I$26),0))</f>
        <v>809.08584257735515</v>
      </c>
      <c r="P70" s="59">
        <v>59</v>
      </c>
      <c r="Q70" s="28">
        <f t="shared" si="6"/>
        <v>0</v>
      </c>
      <c r="R70" s="20">
        <f>Q70/Dashboard!$I$25</f>
        <v>0</v>
      </c>
      <c r="S70" s="20">
        <f t="shared" si="15"/>
        <v>0</v>
      </c>
      <c r="T70" s="20">
        <f>IF($D$2="JA",Dashboard!$K$27-$S$11+S70,Dashboard!$K$27)</f>
        <v>2.6800000000000001E-2</v>
      </c>
      <c r="U70" s="27">
        <f t="shared" si="7"/>
        <v>0</v>
      </c>
      <c r="V70" s="26">
        <f>IF(Q70&lt;=1,0,Dashboard!$I$27/Dashboard!$I$30)</f>
        <v>0</v>
      </c>
      <c r="W70" s="28">
        <f>Q70*Dashboard!$K$27/12</f>
        <v>0</v>
      </c>
      <c r="Y70" s="59">
        <v>59</v>
      </c>
      <c r="Z70" s="67">
        <f>Dashboard!$I$28</f>
        <v>0</v>
      </c>
      <c r="AA70" s="64">
        <f>IF(Z70&lt;=1,0,Dashboard!$I$30-Y70)</f>
        <v>0</v>
      </c>
      <c r="AB70" s="64">
        <f t="shared" si="8"/>
        <v>0</v>
      </c>
      <c r="AC70" s="1">
        <f>Dashboard!$K$28</f>
        <v>2.6800000000000001E-2</v>
      </c>
      <c r="AD70" s="28">
        <f t="shared" si="9"/>
        <v>0</v>
      </c>
      <c r="AF70" s="2">
        <f t="shared" si="16"/>
        <v>176681.8354765636</v>
      </c>
      <c r="AG70" s="62">
        <f>(B70+Q70+Z70)/Dashboard!$I$25</f>
        <v>0.70672734190625441</v>
      </c>
      <c r="AH70" s="20">
        <f t="shared" si="17"/>
        <v>1.5E-3</v>
      </c>
      <c r="AI70" s="20">
        <f>IF($D$2="JA",Dashboard!$K$26-$AH$11+AH70,Dashboard!$K$26)</f>
        <v>2.5300000000000003E-2</v>
      </c>
      <c r="AJ70" s="27">
        <f>Tabel2[[#This Row],[Schuldrest]]*AI70/12</f>
        <v>372.50420312975501</v>
      </c>
      <c r="AK70" s="20">
        <f>IF($D$2="JA",Dashboard!$K$27-$AH$11+AH70,Dashboard!$K$27)</f>
        <v>2.5300000000000003E-2</v>
      </c>
      <c r="AL70" s="27">
        <f t="shared" si="0"/>
        <v>0</v>
      </c>
      <c r="AM70" s="20">
        <f>IF($D$2="JA",Dashboard!$K$28-$AH$11+AH70,Dashboard!$K$28)</f>
        <v>2.5300000000000003E-2</v>
      </c>
      <c r="AN70" s="27">
        <f t="shared" si="1"/>
        <v>0</v>
      </c>
      <c r="AO70" s="63">
        <f>Tabel2[[#This Row],[Aflossing]]+V70</f>
        <v>420.89752635966744</v>
      </c>
      <c r="AP70" s="63">
        <f t="shared" si="10"/>
        <v>372.50420312975501</v>
      </c>
      <c r="AQ70" s="2">
        <f t="shared" si="11"/>
        <v>395.68353368547037</v>
      </c>
      <c r="AU70" s="20"/>
      <c r="AV70" s="20"/>
    </row>
    <row r="71" spans="1:48">
      <c r="A71" s="71">
        <v>60</v>
      </c>
      <c r="B71" s="77">
        <f t="shared" si="12"/>
        <v>176260.93795020392</v>
      </c>
      <c r="C71" s="73">
        <f>B71/Dashboard!$I$25</f>
        <v>0.70504375180081569</v>
      </c>
      <c r="D71" s="74">
        <f t="shared" si="2"/>
        <v>1.5E-3</v>
      </c>
      <c r="E71" s="73">
        <f>IF($D$2="JA",Dashboard!$K$26-$D$11+D71,Dashboard!$K$26)</f>
        <v>2.5300000000000003E-2</v>
      </c>
      <c r="F71" s="72">
        <f t="shared" si="3"/>
        <v>371.61681084501333</v>
      </c>
      <c r="G71" s="72">
        <f t="shared" si="13"/>
        <v>421.784918644409</v>
      </c>
      <c r="H71" s="72">
        <f>IFERROR(-PMT(E71^1/12,Dashboard!$I$30-A71,B71),0)</f>
        <v>793.40172948942234</v>
      </c>
      <c r="I71" s="75">
        <f t="shared" si="4"/>
        <v>793.40172948942234</v>
      </c>
      <c r="J71" s="76">
        <f t="shared" si="14"/>
        <v>176758.32919206499</v>
      </c>
      <c r="K71" s="76">
        <f>J71*Dashboard!$K$26/12</f>
        <v>394.76026852894512</v>
      </c>
      <c r="L71" s="76">
        <f t="shared" si="5"/>
        <v>414.32557404841003</v>
      </c>
      <c r="M71" s="76">
        <f>IF(H71=0,0,IFERROR(-PMT(Dashboard!$K$26^1/12,Dashboard!$I$30,Dashboard!$I$26),0))</f>
        <v>809.08584257735515</v>
      </c>
      <c r="P71" s="59">
        <v>60</v>
      </c>
      <c r="Q71" s="28">
        <f t="shared" si="6"/>
        <v>0</v>
      </c>
      <c r="R71" s="20">
        <f>Q71/Dashboard!$I$25</f>
        <v>0</v>
      </c>
      <c r="S71" s="20">
        <f t="shared" si="15"/>
        <v>0</v>
      </c>
      <c r="T71" s="20">
        <f>IF($D$2="JA",Dashboard!$K$27-$S$11+S71,Dashboard!$K$27)</f>
        <v>2.6800000000000001E-2</v>
      </c>
      <c r="U71" s="27">
        <f t="shared" si="7"/>
        <v>0</v>
      </c>
      <c r="V71" s="26">
        <f>IF(Q71&lt;=1,0,Dashboard!$I$27/Dashboard!$I$30)</f>
        <v>0</v>
      </c>
      <c r="W71" s="28">
        <f>Q71*Dashboard!$K$27/12</f>
        <v>0</v>
      </c>
      <c r="Y71" s="59">
        <v>60</v>
      </c>
      <c r="Z71" s="67">
        <f>Dashboard!$I$28</f>
        <v>0</v>
      </c>
      <c r="AA71" s="64">
        <f>IF(Z71&lt;=1,0,Dashboard!$I$30-Y71)</f>
        <v>0</v>
      </c>
      <c r="AB71" s="64">
        <f t="shared" si="8"/>
        <v>0</v>
      </c>
      <c r="AC71" s="1">
        <f>Dashboard!$K$28</f>
        <v>2.6800000000000001E-2</v>
      </c>
      <c r="AD71" s="28">
        <f t="shared" si="9"/>
        <v>0</v>
      </c>
      <c r="AF71" s="2">
        <f t="shared" si="16"/>
        <v>176260.93795020392</v>
      </c>
      <c r="AG71" s="62">
        <f>(B71+Q71+Z71)/Dashboard!$I$25</f>
        <v>0.70504375180081569</v>
      </c>
      <c r="AH71" s="20">
        <f t="shared" si="17"/>
        <v>1.5E-3</v>
      </c>
      <c r="AI71" s="20">
        <f>IF($D$2="JA",Dashboard!$K$26-$AH$11+AH71,Dashboard!$K$26)</f>
        <v>2.5300000000000003E-2</v>
      </c>
      <c r="AJ71" s="27">
        <f>Tabel2[[#This Row],[Schuldrest]]*AI71/12</f>
        <v>371.61681084501333</v>
      </c>
      <c r="AK71" s="20">
        <f>IF($D$2="JA",Dashboard!$K$27-$AH$11+AH71,Dashboard!$K$27)</f>
        <v>2.5300000000000003E-2</v>
      </c>
      <c r="AL71" s="27">
        <f t="shared" si="0"/>
        <v>0</v>
      </c>
      <c r="AM71" s="20">
        <f>IF($D$2="JA",Dashboard!$K$28-$AH$11+AH71,Dashboard!$K$28)</f>
        <v>2.5300000000000003E-2</v>
      </c>
      <c r="AN71" s="27">
        <f t="shared" si="1"/>
        <v>0</v>
      </c>
      <c r="AO71" s="63">
        <f>Tabel2[[#This Row],[Aflossing]]+V71</f>
        <v>421.784918644409</v>
      </c>
      <c r="AP71" s="63">
        <f t="shared" si="10"/>
        <v>371.61681084501333</v>
      </c>
      <c r="AQ71" s="2">
        <f t="shared" si="11"/>
        <v>394.76026852894512</v>
      </c>
      <c r="AU71" s="20"/>
      <c r="AV71" s="20"/>
    </row>
    <row r="72" spans="1:48">
      <c r="A72" s="71">
        <v>61</v>
      </c>
      <c r="B72" s="77">
        <f t="shared" si="12"/>
        <v>175839.15303155952</v>
      </c>
      <c r="C72" s="73">
        <f>B72/Dashboard!$I$25</f>
        <v>0.70335661212623801</v>
      </c>
      <c r="D72" s="74">
        <f t="shared" si="2"/>
        <v>1.5E-3</v>
      </c>
      <c r="E72" s="73">
        <f>IF($D$2="JA",Dashboard!$K$26-$D$11+D72,Dashboard!$K$26)</f>
        <v>2.5300000000000003E-2</v>
      </c>
      <c r="F72" s="72">
        <f t="shared" si="3"/>
        <v>370.72754764153802</v>
      </c>
      <c r="G72" s="72">
        <f t="shared" si="13"/>
        <v>422.67418184788431</v>
      </c>
      <c r="H72" s="72">
        <f>IFERROR(-PMT(E72^1/12,Dashboard!$I$30-A72,B72),0)</f>
        <v>793.40172948942234</v>
      </c>
      <c r="I72" s="75">
        <f t="shared" si="4"/>
        <v>793.40172948942234</v>
      </c>
      <c r="J72" s="76">
        <f t="shared" si="14"/>
        <v>176344.00361801658</v>
      </c>
      <c r="K72" s="76">
        <f>J72*Dashboard!$K$26/12</f>
        <v>393.83494141357033</v>
      </c>
      <c r="L72" s="76">
        <f t="shared" si="5"/>
        <v>415.25090116378482</v>
      </c>
      <c r="M72" s="76">
        <f>IF(H72=0,0,IFERROR(-PMT(Dashboard!$K$26^1/12,Dashboard!$I$30,Dashboard!$I$26),0))</f>
        <v>809.08584257735515</v>
      </c>
      <c r="P72" s="59">
        <v>61</v>
      </c>
      <c r="Q72" s="28">
        <f t="shared" si="6"/>
        <v>0</v>
      </c>
      <c r="R72" s="20">
        <f>Q72/Dashboard!$I$25</f>
        <v>0</v>
      </c>
      <c r="S72" s="20">
        <f t="shared" si="15"/>
        <v>0</v>
      </c>
      <c r="T72" s="20">
        <f>IF($D$2="JA",Dashboard!$K$27-$S$11+S72,Dashboard!$K$27)</f>
        <v>2.6800000000000001E-2</v>
      </c>
      <c r="U72" s="27">
        <f t="shared" si="7"/>
        <v>0</v>
      </c>
      <c r="V72" s="26">
        <f>IF(Q72&lt;=1,0,Dashboard!$I$27/Dashboard!$I$30)</f>
        <v>0</v>
      </c>
      <c r="W72" s="28">
        <f>Q72*Dashboard!$K$27/12</f>
        <v>0</v>
      </c>
      <c r="Y72" s="59">
        <v>61</v>
      </c>
      <c r="Z72" s="67">
        <f>Dashboard!$I$28</f>
        <v>0</v>
      </c>
      <c r="AA72" s="64">
        <f>IF(Z72&lt;=1,0,Dashboard!$I$30-Y72)</f>
        <v>0</v>
      </c>
      <c r="AB72" s="64">
        <f t="shared" si="8"/>
        <v>0</v>
      </c>
      <c r="AC72" s="1">
        <f>Dashboard!$K$28</f>
        <v>2.6800000000000001E-2</v>
      </c>
      <c r="AD72" s="28">
        <f t="shared" si="9"/>
        <v>0</v>
      </c>
      <c r="AF72" s="2">
        <f t="shared" si="16"/>
        <v>175839.15303155952</v>
      </c>
      <c r="AG72" s="62">
        <f>(B72+Q72+Z72)/Dashboard!$I$25</f>
        <v>0.70335661212623801</v>
      </c>
      <c r="AH72" s="20">
        <f t="shared" si="17"/>
        <v>1.5E-3</v>
      </c>
      <c r="AI72" s="20">
        <f>IF($D$2="JA",Dashboard!$K$26-$AH$11+AH72,Dashboard!$K$26)</f>
        <v>2.5300000000000003E-2</v>
      </c>
      <c r="AJ72" s="27">
        <f>Tabel2[[#This Row],[Schuldrest]]*AI72/12</f>
        <v>370.72754764153802</v>
      </c>
      <c r="AK72" s="20">
        <f>IF($D$2="JA",Dashboard!$K$27-$AH$11+AH72,Dashboard!$K$27)</f>
        <v>2.5300000000000003E-2</v>
      </c>
      <c r="AL72" s="27">
        <f t="shared" si="0"/>
        <v>0</v>
      </c>
      <c r="AM72" s="20">
        <f>IF($D$2="JA",Dashboard!$K$28-$AH$11+AH72,Dashboard!$K$28)</f>
        <v>2.5300000000000003E-2</v>
      </c>
      <c r="AN72" s="27">
        <f t="shared" si="1"/>
        <v>0</v>
      </c>
      <c r="AO72" s="63">
        <f>Tabel2[[#This Row],[Aflossing]]+V72</f>
        <v>422.67418184788431</v>
      </c>
      <c r="AP72" s="63">
        <f t="shared" si="10"/>
        <v>370.72754764153802</v>
      </c>
      <c r="AQ72" s="2">
        <f t="shared" si="11"/>
        <v>393.83494141357033</v>
      </c>
      <c r="AU72" s="20"/>
      <c r="AV72" s="20"/>
    </row>
    <row r="73" spans="1:48">
      <c r="A73" s="71">
        <v>62</v>
      </c>
      <c r="B73" s="77">
        <f t="shared" si="12"/>
        <v>175416.47884971162</v>
      </c>
      <c r="C73" s="73">
        <f>B73/Dashboard!$I$25</f>
        <v>0.70166591539884648</v>
      </c>
      <c r="D73" s="74">
        <f t="shared" si="2"/>
        <v>1.5E-3</v>
      </c>
      <c r="E73" s="73">
        <f>IF($D$2="JA",Dashboard!$K$26-$D$11+D73,Dashboard!$K$26)</f>
        <v>2.5300000000000003E-2</v>
      </c>
      <c r="F73" s="72">
        <f t="shared" si="3"/>
        <v>369.83640957480867</v>
      </c>
      <c r="G73" s="72">
        <f t="shared" si="13"/>
        <v>423.56531991461355</v>
      </c>
      <c r="H73" s="72">
        <f>IFERROR(-PMT(E73^1/12,Dashboard!$I$30-A73,B73),0)</f>
        <v>793.40172948942222</v>
      </c>
      <c r="I73" s="75">
        <f t="shared" si="4"/>
        <v>793.40172948942222</v>
      </c>
      <c r="J73" s="76">
        <f t="shared" si="14"/>
        <v>175928.75271685279</v>
      </c>
      <c r="K73" s="76">
        <f>J73*Dashboard!$K$26/12</f>
        <v>392.90754773430461</v>
      </c>
      <c r="L73" s="76">
        <f t="shared" si="5"/>
        <v>416.17829484305054</v>
      </c>
      <c r="M73" s="76">
        <f>IF(H73=0,0,IFERROR(-PMT(Dashboard!$K$26^1/12,Dashboard!$I$30,Dashboard!$I$26),0))</f>
        <v>809.08584257735515</v>
      </c>
      <c r="P73" s="59">
        <v>62</v>
      </c>
      <c r="Q73" s="28">
        <f t="shared" si="6"/>
        <v>0</v>
      </c>
      <c r="R73" s="20">
        <f>Q73/Dashboard!$I$25</f>
        <v>0</v>
      </c>
      <c r="S73" s="20">
        <f t="shared" si="15"/>
        <v>0</v>
      </c>
      <c r="T73" s="20">
        <f>IF($D$2="JA",Dashboard!$K$27-$S$11+S73,Dashboard!$K$27)</f>
        <v>2.6800000000000001E-2</v>
      </c>
      <c r="U73" s="27">
        <f t="shared" si="7"/>
        <v>0</v>
      </c>
      <c r="V73" s="26">
        <f>IF(Q73&lt;=1,0,Dashboard!$I$27/Dashboard!$I$30)</f>
        <v>0</v>
      </c>
      <c r="W73" s="28">
        <f>Q73*Dashboard!$K$27/12</f>
        <v>0</v>
      </c>
      <c r="Y73" s="59">
        <v>62</v>
      </c>
      <c r="Z73" s="67">
        <f>Dashboard!$I$28</f>
        <v>0</v>
      </c>
      <c r="AA73" s="64">
        <f>IF(Z73&lt;=1,0,Dashboard!$I$30-Y73)</f>
        <v>0</v>
      </c>
      <c r="AB73" s="64">
        <f t="shared" si="8"/>
        <v>0</v>
      </c>
      <c r="AC73" s="1">
        <f>Dashboard!$K$28</f>
        <v>2.6800000000000001E-2</v>
      </c>
      <c r="AD73" s="28">
        <f t="shared" si="9"/>
        <v>0</v>
      </c>
      <c r="AF73" s="2">
        <f t="shared" si="16"/>
        <v>175416.47884971162</v>
      </c>
      <c r="AG73" s="62">
        <f>(B73+Q73+Z73)/Dashboard!$I$25</f>
        <v>0.70166591539884648</v>
      </c>
      <c r="AH73" s="20">
        <f t="shared" si="17"/>
        <v>1.5E-3</v>
      </c>
      <c r="AI73" s="20">
        <f>IF($D$2="JA",Dashboard!$K$26-$AH$11+AH73,Dashboard!$K$26)</f>
        <v>2.5300000000000003E-2</v>
      </c>
      <c r="AJ73" s="27">
        <f>Tabel2[[#This Row],[Schuldrest]]*AI73/12</f>
        <v>369.83640957480867</v>
      </c>
      <c r="AK73" s="20">
        <f>IF($D$2="JA",Dashboard!$K$27-$AH$11+AH73,Dashboard!$K$27)</f>
        <v>2.5300000000000003E-2</v>
      </c>
      <c r="AL73" s="27">
        <f t="shared" si="0"/>
        <v>0</v>
      </c>
      <c r="AM73" s="20">
        <f>IF($D$2="JA",Dashboard!$K$28-$AH$11+AH73,Dashboard!$K$28)</f>
        <v>2.5300000000000003E-2</v>
      </c>
      <c r="AN73" s="27">
        <f t="shared" si="1"/>
        <v>0</v>
      </c>
      <c r="AO73" s="63">
        <f>Tabel2[[#This Row],[Aflossing]]+V73</f>
        <v>423.56531991461355</v>
      </c>
      <c r="AP73" s="63">
        <f t="shared" si="10"/>
        <v>369.83640957480867</v>
      </c>
      <c r="AQ73" s="2">
        <f t="shared" si="11"/>
        <v>392.90754773430461</v>
      </c>
      <c r="AU73" s="20"/>
      <c r="AV73" s="20"/>
    </row>
    <row r="74" spans="1:48">
      <c r="A74" s="71">
        <v>63</v>
      </c>
      <c r="B74" s="77">
        <f t="shared" si="12"/>
        <v>174992.91352979702</v>
      </c>
      <c r="C74" s="73">
        <f>B74/Dashboard!$I$25</f>
        <v>0.69997165411918805</v>
      </c>
      <c r="D74" s="74">
        <f t="shared" si="2"/>
        <v>1.5E-3</v>
      </c>
      <c r="E74" s="73">
        <f>IF($D$2="JA",Dashboard!$K$26-$D$11+D74,Dashboard!$K$26)</f>
        <v>2.5300000000000003E-2</v>
      </c>
      <c r="F74" s="72">
        <f t="shared" si="3"/>
        <v>368.94339269198878</v>
      </c>
      <c r="G74" s="72">
        <f t="shared" si="13"/>
        <v>424.45833679743356</v>
      </c>
      <c r="H74" s="72">
        <f>IFERROR(-PMT(E74^1/12,Dashboard!$I$30-A74,B74),0)</f>
        <v>793.40172948942234</v>
      </c>
      <c r="I74" s="75">
        <f t="shared" si="4"/>
        <v>793.40172948942234</v>
      </c>
      <c r="J74" s="76">
        <f t="shared" si="14"/>
        <v>175512.57442200973</v>
      </c>
      <c r="K74" s="76">
        <f>J74*Dashboard!$K$26/12</f>
        <v>391.97808287582171</v>
      </c>
      <c r="L74" s="76">
        <f t="shared" si="5"/>
        <v>417.10775970153344</v>
      </c>
      <c r="M74" s="76">
        <f>IF(H74=0,0,IFERROR(-PMT(Dashboard!$K$26^1/12,Dashboard!$I$30,Dashboard!$I$26),0))</f>
        <v>809.08584257735515</v>
      </c>
      <c r="P74" s="59">
        <v>63</v>
      </c>
      <c r="Q74" s="28">
        <f t="shared" si="6"/>
        <v>0</v>
      </c>
      <c r="R74" s="20">
        <f>Q74/Dashboard!$I$25</f>
        <v>0</v>
      </c>
      <c r="S74" s="20">
        <f t="shared" si="15"/>
        <v>0</v>
      </c>
      <c r="T74" s="20">
        <f>IF($D$2="JA",Dashboard!$K$27-$S$11+S74,Dashboard!$K$27)</f>
        <v>2.6800000000000001E-2</v>
      </c>
      <c r="U74" s="27">
        <f t="shared" si="7"/>
        <v>0</v>
      </c>
      <c r="V74" s="26">
        <f>IF(Q74&lt;=1,0,Dashboard!$I$27/Dashboard!$I$30)</f>
        <v>0</v>
      </c>
      <c r="W74" s="28">
        <f>Q74*Dashboard!$K$27/12</f>
        <v>0</v>
      </c>
      <c r="Y74" s="59">
        <v>63</v>
      </c>
      <c r="Z74" s="67">
        <f>Dashboard!$I$28</f>
        <v>0</v>
      </c>
      <c r="AA74" s="64">
        <f>IF(Z74&lt;=1,0,Dashboard!$I$30-Y74)</f>
        <v>0</v>
      </c>
      <c r="AB74" s="64">
        <f t="shared" si="8"/>
        <v>0</v>
      </c>
      <c r="AC74" s="1">
        <f>Dashboard!$K$28</f>
        <v>2.6800000000000001E-2</v>
      </c>
      <c r="AD74" s="28">
        <f t="shared" si="9"/>
        <v>0</v>
      </c>
      <c r="AF74" s="2">
        <f t="shared" si="16"/>
        <v>174992.91352979702</v>
      </c>
      <c r="AG74" s="62">
        <f>(B74+Q74+Z74)/Dashboard!$I$25</f>
        <v>0.69997165411918805</v>
      </c>
      <c r="AH74" s="20">
        <f t="shared" si="17"/>
        <v>1.5E-3</v>
      </c>
      <c r="AI74" s="20">
        <f>IF($D$2="JA",Dashboard!$K$26-$AH$11+AH74,Dashboard!$K$26)</f>
        <v>2.5300000000000003E-2</v>
      </c>
      <c r="AJ74" s="27">
        <f>Tabel2[[#This Row],[Schuldrest]]*AI74/12</f>
        <v>368.94339269198878</v>
      </c>
      <c r="AK74" s="20">
        <f>IF($D$2="JA",Dashboard!$K$27-$AH$11+AH74,Dashboard!$K$27)</f>
        <v>2.5300000000000003E-2</v>
      </c>
      <c r="AL74" s="27">
        <f t="shared" si="0"/>
        <v>0</v>
      </c>
      <c r="AM74" s="20">
        <f>IF($D$2="JA",Dashboard!$K$28-$AH$11+AH74,Dashboard!$K$28)</f>
        <v>2.5300000000000003E-2</v>
      </c>
      <c r="AN74" s="27">
        <f t="shared" si="1"/>
        <v>0</v>
      </c>
      <c r="AO74" s="63">
        <f>Tabel2[[#This Row],[Aflossing]]+V74</f>
        <v>424.45833679743356</v>
      </c>
      <c r="AP74" s="63">
        <f t="shared" si="10"/>
        <v>368.94339269198878</v>
      </c>
      <c r="AQ74" s="2">
        <f t="shared" si="11"/>
        <v>391.97808287582171</v>
      </c>
      <c r="AU74" s="20"/>
      <c r="AV74" s="20"/>
    </row>
    <row r="75" spans="1:48">
      <c r="A75" s="71">
        <v>64</v>
      </c>
      <c r="B75" s="77">
        <f t="shared" si="12"/>
        <v>174568.45519299959</v>
      </c>
      <c r="C75" s="73">
        <f>B75/Dashboard!$I$25</f>
        <v>0.6982738207719984</v>
      </c>
      <c r="D75" s="74">
        <f t="shared" si="2"/>
        <v>1.5E-3</v>
      </c>
      <c r="E75" s="73">
        <f>IF($D$2="JA",Dashboard!$K$26-$D$11+D75,Dashboard!$K$26)</f>
        <v>2.5300000000000003E-2</v>
      </c>
      <c r="F75" s="72">
        <f t="shared" si="3"/>
        <v>368.04849303190753</v>
      </c>
      <c r="G75" s="72">
        <f t="shared" si="13"/>
        <v>425.35323645751481</v>
      </c>
      <c r="H75" s="72">
        <f>IFERROR(-PMT(E75^1/12,Dashboard!$I$30-A75,B75),0)</f>
        <v>793.40172948942234</v>
      </c>
      <c r="I75" s="75">
        <f t="shared" si="4"/>
        <v>793.40172948942234</v>
      </c>
      <c r="J75" s="76">
        <f t="shared" si="14"/>
        <v>175095.4666623082</v>
      </c>
      <c r="K75" s="76">
        <f>J75*Dashboard!$K$26/12</f>
        <v>391.0465422124883</v>
      </c>
      <c r="L75" s="76">
        <f t="shared" si="5"/>
        <v>418.03930036486685</v>
      </c>
      <c r="M75" s="76">
        <f>IF(H75=0,0,IFERROR(-PMT(Dashboard!$K$26^1/12,Dashboard!$I$30,Dashboard!$I$26),0))</f>
        <v>809.08584257735515</v>
      </c>
      <c r="P75" s="59">
        <v>64</v>
      </c>
      <c r="Q75" s="28">
        <f t="shared" si="6"/>
        <v>0</v>
      </c>
      <c r="R75" s="20">
        <f>Q75/Dashboard!$I$25</f>
        <v>0</v>
      </c>
      <c r="S75" s="20">
        <f t="shared" si="15"/>
        <v>0</v>
      </c>
      <c r="T75" s="20">
        <f>IF($D$2="JA",Dashboard!$K$27-$S$11+S75,Dashboard!$K$27)</f>
        <v>2.6800000000000001E-2</v>
      </c>
      <c r="U75" s="27">
        <f t="shared" si="7"/>
        <v>0</v>
      </c>
      <c r="V75" s="26">
        <f>IF(Q75&lt;=1,0,Dashboard!$I$27/Dashboard!$I$30)</f>
        <v>0</v>
      </c>
      <c r="W75" s="28">
        <f>Q75*Dashboard!$K$27/12</f>
        <v>0</v>
      </c>
      <c r="Y75" s="59">
        <v>64</v>
      </c>
      <c r="Z75" s="67">
        <f>Dashboard!$I$28</f>
        <v>0</v>
      </c>
      <c r="AA75" s="64">
        <f>IF(Z75&lt;=1,0,Dashboard!$I$30-Y75)</f>
        <v>0</v>
      </c>
      <c r="AB75" s="64">
        <f t="shared" si="8"/>
        <v>0</v>
      </c>
      <c r="AC75" s="1">
        <f>Dashboard!$K$28</f>
        <v>2.6800000000000001E-2</v>
      </c>
      <c r="AD75" s="28">
        <f t="shared" si="9"/>
        <v>0</v>
      </c>
      <c r="AF75" s="2">
        <f t="shared" si="16"/>
        <v>174568.45519299959</v>
      </c>
      <c r="AG75" s="62">
        <f>(B75+Q75+Z75)/Dashboard!$I$25</f>
        <v>0.6982738207719984</v>
      </c>
      <c r="AH75" s="20">
        <f t="shared" si="17"/>
        <v>1.5E-3</v>
      </c>
      <c r="AI75" s="20">
        <f>IF($D$2="JA",Dashboard!$K$26-$AH$11+AH75,Dashboard!$K$26)</f>
        <v>2.5300000000000003E-2</v>
      </c>
      <c r="AJ75" s="27">
        <f>Tabel2[[#This Row],[Schuldrest]]*AI75/12</f>
        <v>368.04849303190753</v>
      </c>
      <c r="AK75" s="20">
        <f>IF($D$2="JA",Dashboard!$K$27-$AH$11+AH75,Dashboard!$K$27)</f>
        <v>2.5300000000000003E-2</v>
      </c>
      <c r="AL75" s="27">
        <f t="shared" ref="AL75:AL138" si="18">Q75*AK75/12</f>
        <v>0</v>
      </c>
      <c r="AM75" s="20">
        <f>IF($D$2="JA",Dashboard!$K$28-$AH$11+AH75,Dashboard!$K$28)</f>
        <v>2.5300000000000003E-2</v>
      </c>
      <c r="AN75" s="27">
        <f t="shared" ref="AN75:AN138" si="19">AB75*AM75/12</f>
        <v>0</v>
      </c>
      <c r="AO75" s="63">
        <f>Tabel2[[#This Row],[Aflossing]]+V75</f>
        <v>425.35323645751481</v>
      </c>
      <c r="AP75" s="63">
        <f t="shared" si="10"/>
        <v>368.04849303190753</v>
      </c>
      <c r="AQ75" s="2">
        <f t="shared" ref="AQ75:AQ138" si="20">K75+W75+AD75</f>
        <v>391.0465422124883</v>
      </c>
      <c r="AU75" s="20"/>
      <c r="AV75" s="20"/>
    </row>
    <row r="76" spans="1:48">
      <c r="A76" s="71">
        <v>65</v>
      </c>
      <c r="B76" s="77">
        <f t="shared" ref="B76:B139" si="21">B75-G75</f>
        <v>174143.10195654209</v>
      </c>
      <c r="C76" s="73">
        <f>B76/Dashboard!$I$25</f>
        <v>0.69657240782616836</v>
      </c>
      <c r="D76" s="74">
        <f t="shared" ref="D76:D139" si="22">IF(C76&lt;=$C$5,0,VLOOKUP(C76,$C$6:$E$8,3))</f>
        <v>1.5E-3</v>
      </c>
      <c r="E76" s="73">
        <f>IF($D$2="JA",Dashboard!$K$26-$D$11+D76,Dashboard!$K$26)</f>
        <v>2.5300000000000003E-2</v>
      </c>
      <c r="F76" s="72">
        <f t="shared" ref="F76:F139" si="23">B76*E76/12</f>
        <v>367.15170662504289</v>
      </c>
      <c r="G76" s="72">
        <f t="shared" si="13"/>
        <v>426.25002286437945</v>
      </c>
      <c r="H76" s="72">
        <f>IFERROR(-PMT(E76^1/12,Dashboard!$I$30-A76,B76),0)</f>
        <v>793.40172948942234</v>
      </c>
      <c r="I76" s="75">
        <f t="shared" ref="I76:I139" si="24">H76</f>
        <v>793.40172948942234</v>
      </c>
      <c r="J76" s="76">
        <f t="shared" si="14"/>
        <v>174677.42736194332</v>
      </c>
      <c r="K76" s="76">
        <f>J76*Dashboard!$K$26/12</f>
        <v>390.11292110834012</v>
      </c>
      <c r="L76" s="76">
        <f t="shared" ref="L76:L139" si="25">M76-K76</f>
        <v>418.97292146901503</v>
      </c>
      <c r="M76" s="76">
        <f>IF(H76=0,0,IFERROR(-PMT(Dashboard!$K$26^1/12,Dashboard!$I$30,Dashboard!$I$26),0))</f>
        <v>809.08584257735515</v>
      </c>
      <c r="P76" s="59">
        <v>65</v>
      </c>
      <c r="Q76" s="28">
        <f t="shared" ref="Q76:Q139" si="26">MAX(Q75-V75,0)</f>
        <v>0</v>
      </c>
      <c r="R76" s="20">
        <f>Q76/Dashboard!$I$25</f>
        <v>0</v>
      </c>
      <c r="S76" s="20">
        <f t="shared" ref="S76:S139" si="27">IF(R76&lt;=$C$5,0,VLOOKUP(C76,$C$6:$E$8,3))</f>
        <v>0</v>
      </c>
      <c r="T76" s="20">
        <f>IF($D$2="JA",Dashboard!$K$27-$S$11+S76,Dashboard!$K$27)</f>
        <v>2.6800000000000001E-2</v>
      </c>
      <c r="U76" s="27">
        <f t="shared" ref="U76:U139" si="28">Q76*T76/12</f>
        <v>0</v>
      </c>
      <c r="V76" s="26">
        <f>IF(Q76&lt;=1,0,Dashboard!$I$27/Dashboard!$I$30)</f>
        <v>0</v>
      </c>
      <c r="W76" s="28">
        <f>Q76*Dashboard!$K$27/12</f>
        <v>0</v>
      </c>
      <c r="Y76" s="59">
        <v>65</v>
      </c>
      <c r="Z76" s="67">
        <f>Dashboard!$I$28</f>
        <v>0</v>
      </c>
      <c r="AA76" s="64">
        <f>IF(Z76&lt;=1,0,Dashboard!$I$30-Y76)</f>
        <v>0</v>
      </c>
      <c r="AB76" s="64">
        <f t="shared" ref="AB76:AB139" si="29">IF(AA76&lt;=0,0,Z76)</f>
        <v>0</v>
      </c>
      <c r="AC76" s="1">
        <f>Dashboard!$K$28</f>
        <v>2.6800000000000001E-2</v>
      </c>
      <c r="AD76" s="28">
        <f t="shared" ref="AD76:AD139" si="30">AB76*AC76/12</f>
        <v>0</v>
      </c>
      <c r="AF76" s="2">
        <f t="shared" ref="AF76:AF139" si="31">SUM(B76,Q76,AB76)</f>
        <v>174143.10195654209</v>
      </c>
      <c r="AG76" s="62">
        <f>(B76+Q76+Z76)/Dashboard!$I$25</f>
        <v>0.69657240782616836</v>
      </c>
      <c r="AH76" s="20">
        <f t="shared" ref="AH76:AH139" si="32">IF(AG76&lt;=$C$5,0,VLOOKUP(AG76,$C$6:$E$8,3))</f>
        <v>1.5E-3</v>
      </c>
      <c r="AI76" s="20">
        <f>IF($D$2="JA",Dashboard!$K$26-$AH$11+AH76,Dashboard!$K$26)</f>
        <v>2.5300000000000003E-2</v>
      </c>
      <c r="AJ76" s="27">
        <f>Tabel2[[#This Row],[Schuldrest]]*AI76/12</f>
        <v>367.15170662504289</v>
      </c>
      <c r="AK76" s="20">
        <f>IF($D$2="JA",Dashboard!$K$27-$AH$11+AH76,Dashboard!$K$27)</f>
        <v>2.5300000000000003E-2</v>
      </c>
      <c r="AL76" s="27">
        <f t="shared" si="18"/>
        <v>0</v>
      </c>
      <c r="AM76" s="20">
        <f>IF($D$2="JA",Dashboard!$K$28-$AH$11+AH76,Dashboard!$K$28)</f>
        <v>2.5300000000000003E-2</v>
      </c>
      <c r="AN76" s="27">
        <f t="shared" si="19"/>
        <v>0</v>
      </c>
      <c r="AO76" s="63">
        <f>Tabel2[[#This Row],[Aflossing]]+V76</f>
        <v>426.25002286437945</v>
      </c>
      <c r="AP76" s="63">
        <f t="shared" ref="AP76:AP139" si="33">AJ76+AL76+AN76</f>
        <v>367.15170662504289</v>
      </c>
      <c r="AQ76" s="2">
        <f t="shared" si="20"/>
        <v>390.11292110834012</v>
      </c>
      <c r="AU76" s="20"/>
      <c r="AV76" s="20"/>
    </row>
    <row r="77" spans="1:48">
      <c r="A77" s="71">
        <v>66</v>
      </c>
      <c r="B77" s="77">
        <f t="shared" si="21"/>
        <v>173716.85193367771</v>
      </c>
      <c r="C77" s="73">
        <f>B77/Dashboard!$I$25</f>
        <v>0.69486740773471078</v>
      </c>
      <c r="D77" s="74">
        <f t="shared" si="22"/>
        <v>1.5E-3</v>
      </c>
      <c r="E77" s="73">
        <f>IF($D$2="JA",Dashboard!$K$26-$D$11+D77,Dashboard!$K$26)</f>
        <v>2.5300000000000003E-2</v>
      </c>
      <c r="F77" s="72">
        <f t="shared" si="23"/>
        <v>366.25302949350385</v>
      </c>
      <c r="G77" s="72">
        <f t="shared" ref="G77:G140" si="34">H77-F77</f>
        <v>427.14869999591838</v>
      </c>
      <c r="H77" s="72">
        <f>IFERROR(-PMT(E77^1/12,Dashboard!$I$30-A77,B77),0)</f>
        <v>793.40172948942222</v>
      </c>
      <c r="I77" s="75">
        <f t="shared" si="24"/>
        <v>793.40172948942222</v>
      </c>
      <c r="J77" s="76">
        <f t="shared" ref="J77:J140" si="35">MAX(J76-L76,0)</f>
        <v>174258.45444047431</v>
      </c>
      <c r="K77" s="76">
        <f>J77*Dashboard!$K$26/12</f>
        <v>389.1772149170593</v>
      </c>
      <c r="L77" s="76">
        <f t="shared" si="25"/>
        <v>419.90862766029585</v>
      </c>
      <c r="M77" s="76">
        <f>IF(H77=0,0,IFERROR(-PMT(Dashboard!$K$26^1/12,Dashboard!$I$30,Dashboard!$I$26),0))</f>
        <v>809.08584257735515</v>
      </c>
      <c r="P77" s="59">
        <v>66</v>
      </c>
      <c r="Q77" s="28">
        <f t="shared" si="26"/>
        <v>0</v>
      </c>
      <c r="R77" s="20">
        <f>Q77/Dashboard!$I$25</f>
        <v>0</v>
      </c>
      <c r="S77" s="20">
        <f t="shared" si="27"/>
        <v>0</v>
      </c>
      <c r="T77" s="20">
        <f>IF($D$2="JA",Dashboard!$K$27-$S$11+S77,Dashboard!$K$27)</f>
        <v>2.6800000000000001E-2</v>
      </c>
      <c r="U77" s="27">
        <f t="shared" si="28"/>
        <v>0</v>
      </c>
      <c r="V77" s="26">
        <f>IF(Q77&lt;=1,0,Dashboard!$I$27/Dashboard!$I$30)</f>
        <v>0</v>
      </c>
      <c r="W77" s="28">
        <f>Q77*Dashboard!$K$27/12</f>
        <v>0</v>
      </c>
      <c r="Y77" s="59">
        <v>66</v>
      </c>
      <c r="Z77" s="67">
        <f>Dashboard!$I$28</f>
        <v>0</v>
      </c>
      <c r="AA77" s="64">
        <f>IF(Z77&lt;=1,0,Dashboard!$I$30-Y77)</f>
        <v>0</v>
      </c>
      <c r="AB77" s="64">
        <f t="shared" si="29"/>
        <v>0</v>
      </c>
      <c r="AC77" s="1">
        <f>Dashboard!$K$28</f>
        <v>2.6800000000000001E-2</v>
      </c>
      <c r="AD77" s="28">
        <f t="shared" si="30"/>
        <v>0</v>
      </c>
      <c r="AF77" s="2">
        <f t="shared" si="31"/>
        <v>173716.85193367771</v>
      </c>
      <c r="AG77" s="62">
        <f>(B77+Q77+Z77)/Dashboard!$I$25</f>
        <v>0.69486740773471078</v>
      </c>
      <c r="AH77" s="20">
        <f t="shared" si="32"/>
        <v>1.5E-3</v>
      </c>
      <c r="AI77" s="20">
        <f>IF($D$2="JA",Dashboard!$K$26-$AH$11+AH77,Dashboard!$K$26)</f>
        <v>2.5300000000000003E-2</v>
      </c>
      <c r="AJ77" s="27">
        <f>Tabel2[[#This Row],[Schuldrest]]*AI77/12</f>
        <v>366.25302949350385</v>
      </c>
      <c r="AK77" s="20">
        <f>IF($D$2="JA",Dashboard!$K$27-$AH$11+AH77,Dashboard!$K$27)</f>
        <v>2.5300000000000003E-2</v>
      </c>
      <c r="AL77" s="27">
        <f t="shared" si="18"/>
        <v>0</v>
      </c>
      <c r="AM77" s="20">
        <f>IF($D$2="JA",Dashboard!$K$28-$AH$11+AH77,Dashboard!$K$28)</f>
        <v>2.5300000000000003E-2</v>
      </c>
      <c r="AN77" s="27">
        <f t="shared" si="19"/>
        <v>0</v>
      </c>
      <c r="AO77" s="63">
        <f>Tabel2[[#This Row],[Aflossing]]+V77</f>
        <v>427.14869999591838</v>
      </c>
      <c r="AP77" s="63">
        <f t="shared" si="33"/>
        <v>366.25302949350385</v>
      </c>
      <c r="AQ77" s="2">
        <f t="shared" si="20"/>
        <v>389.1772149170593</v>
      </c>
      <c r="AU77" s="20"/>
      <c r="AV77" s="20"/>
    </row>
    <row r="78" spans="1:48">
      <c r="A78" s="71">
        <v>67</v>
      </c>
      <c r="B78" s="77">
        <f t="shared" si="21"/>
        <v>173289.70323368179</v>
      </c>
      <c r="C78" s="73">
        <f>B78/Dashboard!$I$25</f>
        <v>0.69315881293472714</v>
      </c>
      <c r="D78" s="74">
        <f t="shared" si="22"/>
        <v>1.5E-3</v>
      </c>
      <c r="E78" s="73">
        <f>IF($D$2="JA",Dashboard!$K$26-$D$11+D78,Dashboard!$K$26)</f>
        <v>2.5300000000000003E-2</v>
      </c>
      <c r="F78" s="72">
        <f t="shared" si="23"/>
        <v>365.35245765101246</v>
      </c>
      <c r="G78" s="72">
        <f t="shared" si="34"/>
        <v>428.04927183840988</v>
      </c>
      <c r="H78" s="72">
        <f>IFERROR(-PMT(E78^1/12,Dashboard!$I$30-A78,B78),0)</f>
        <v>793.40172948942234</v>
      </c>
      <c r="I78" s="75">
        <f t="shared" si="24"/>
        <v>793.40172948942234</v>
      </c>
      <c r="J78" s="76">
        <f t="shared" si="35"/>
        <v>173838.545812814</v>
      </c>
      <c r="K78" s="76">
        <f>J78*Dashboard!$K$26/12</f>
        <v>388.2394189819513</v>
      </c>
      <c r="L78" s="76">
        <f t="shared" si="25"/>
        <v>420.84642359540385</v>
      </c>
      <c r="M78" s="76">
        <f>IF(H78=0,0,IFERROR(-PMT(Dashboard!$K$26^1/12,Dashboard!$I$30,Dashboard!$I$26),0))</f>
        <v>809.08584257735515</v>
      </c>
      <c r="P78" s="59">
        <v>67</v>
      </c>
      <c r="Q78" s="28">
        <f t="shared" si="26"/>
        <v>0</v>
      </c>
      <c r="R78" s="20">
        <f>Q78/Dashboard!$I$25</f>
        <v>0</v>
      </c>
      <c r="S78" s="20">
        <f t="shared" si="27"/>
        <v>0</v>
      </c>
      <c r="T78" s="20">
        <f>IF($D$2="JA",Dashboard!$K$27-$S$11+S78,Dashboard!$K$27)</f>
        <v>2.6800000000000001E-2</v>
      </c>
      <c r="U78" s="27">
        <f t="shared" si="28"/>
        <v>0</v>
      </c>
      <c r="V78" s="26">
        <f>IF(Q78&lt;=1,0,Dashboard!$I$27/Dashboard!$I$30)</f>
        <v>0</v>
      </c>
      <c r="W78" s="28">
        <f>Q78*Dashboard!$K$27/12</f>
        <v>0</v>
      </c>
      <c r="Y78" s="59">
        <v>67</v>
      </c>
      <c r="Z78" s="67">
        <f>Dashboard!$I$28</f>
        <v>0</v>
      </c>
      <c r="AA78" s="64">
        <f>IF(Z78&lt;=1,0,Dashboard!$I$30-Y78)</f>
        <v>0</v>
      </c>
      <c r="AB78" s="64">
        <f t="shared" si="29"/>
        <v>0</v>
      </c>
      <c r="AC78" s="1">
        <f>Dashboard!$K$28</f>
        <v>2.6800000000000001E-2</v>
      </c>
      <c r="AD78" s="28">
        <f t="shared" si="30"/>
        <v>0</v>
      </c>
      <c r="AF78" s="2">
        <f t="shared" si="31"/>
        <v>173289.70323368179</v>
      </c>
      <c r="AG78" s="62">
        <f>(B78+Q78+Z78)/Dashboard!$I$25</f>
        <v>0.69315881293472714</v>
      </c>
      <c r="AH78" s="20">
        <f t="shared" si="32"/>
        <v>1.5E-3</v>
      </c>
      <c r="AI78" s="20">
        <f>IF($D$2="JA",Dashboard!$K$26-$AH$11+AH78,Dashboard!$K$26)</f>
        <v>2.5300000000000003E-2</v>
      </c>
      <c r="AJ78" s="27">
        <f>Tabel2[[#This Row],[Schuldrest]]*AI78/12</f>
        <v>365.35245765101246</v>
      </c>
      <c r="AK78" s="20">
        <f>IF($D$2="JA",Dashboard!$K$27-$AH$11+AH78,Dashboard!$K$27)</f>
        <v>2.5300000000000003E-2</v>
      </c>
      <c r="AL78" s="27">
        <f t="shared" si="18"/>
        <v>0</v>
      </c>
      <c r="AM78" s="20">
        <f>IF($D$2="JA",Dashboard!$K$28-$AH$11+AH78,Dashboard!$K$28)</f>
        <v>2.5300000000000003E-2</v>
      </c>
      <c r="AN78" s="27">
        <f t="shared" si="19"/>
        <v>0</v>
      </c>
      <c r="AO78" s="63">
        <f>Tabel2[[#This Row],[Aflossing]]+V78</f>
        <v>428.04927183840988</v>
      </c>
      <c r="AP78" s="63">
        <f t="shared" si="33"/>
        <v>365.35245765101246</v>
      </c>
      <c r="AQ78" s="2">
        <f t="shared" si="20"/>
        <v>388.2394189819513</v>
      </c>
      <c r="AU78" s="20"/>
      <c r="AV78" s="20"/>
    </row>
    <row r="79" spans="1:48">
      <c r="A79" s="71">
        <v>68</v>
      </c>
      <c r="B79" s="77">
        <f t="shared" si="21"/>
        <v>172861.65396184337</v>
      </c>
      <c r="C79" s="73">
        <f>B79/Dashboard!$I$25</f>
        <v>0.69144661584737355</v>
      </c>
      <c r="D79" s="74">
        <f t="shared" si="22"/>
        <v>1.5E-3</v>
      </c>
      <c r="E79" s="73">
        <f>IF($D$2="JA",Dashboard!$K$26-$D$11+D79,Dashboard!$K$26)</f>
        <v>2.5300000000000003E-2</v>
      </c>
      <c r="F79" s="72">
        <f t="shared" si="23"/>
        <v>364.4499871028865</v>
      </c>
      <c r="G79" s="72">
        <f t="shared" si="34"/>
        <v>428.95174238653584</v>
      </c>
      <c r="H79" s="72">
        <f>IFERROR(-PMT(E79^1/12,Dashboard!$I$30-A79,B79),0)</f>
        <v>793.40172948942234</v>
      </c>
      <c r="I79" s="75">
        <f t="shared" si="24"/>
        <v>793.40172948942234</v>
      </c>
      <c r="J79" s="76">
        <f t="shared" si="35"/>
        <v>173417.69938921859</v>
      </c>
      <c r="K79" s="76">
        <f>J79*Dashboard!$K$26/12</f>
        <v>387.29952863592149</v>
      </c>
      <c r="L79" s="76">
        <f t="shared" si="25"/>
        <v>421.78631394143366</v>
      </c>
      <c r="M79" s="76">
        <f>IF(H79=0,0,IFERROR(-PMT(Dashboard!$K$26^1/12,Dashboard!$I$30,Dashboard!$I$26),0))</f>
        <v>809.08584257735515</v>
      </c>
      <c r="P79" s="59">
        <v>68</v>
      </c>
      <c r="Q79" s="28">
        <f t="shared" si="26"/>
        <v>0</v>
      </c>
      <c r="R79" s="20">
        <f>Q79/Dashboard!$I$25</f>
        <v>0</v>
      </c>
      <c r="S79" s="20">
        <f t="shared" si="27"/>
        <v>0</v>
      </c>
      <c r="T79" s="20">
        <f>IF($D$2="JA",Dashboard!$K$27-$S$11+S79,Dashboard!$K$27)</f>
        <v>2.6800000000000001E-2</v>
      </c>
      <c r="U79" s="27">
        <f t="shared" si="28"/>
        <v>0</v>
      </c>
      <c r="V79" s="26">
        <f>IF(Q79&lt;=1,0,Dashboard!$I$27/Dashboard!$I$30)</f>
        <v>0</v>
      </c>
      <c r="W79" s="28">
        <f>Q79*Dashboard!$K$27/12</f>
        <v>0</v>
      </c>
      <c r="Y79" s="59">
        <v>68</v>
      </c>
      <c r="Z79" s="67">
        <f>Dashboard!$I$28</f>
        <v>0</v>
      </c>
      <c r="AA79" s="64">
        <f>IF(Z79&lt;=1,0,Dashboard!$I$30-Y79)</f>
        <v>0</v>
      </c>
      <c r="AB79" s="64">
        <f t="shared" si="29"/>
        <v>0</v>
      </c>
      <c r="AC79" s="1">
        <f>Dashboard!$K$28</f>
        <v>2.6800000000000001E-2</v>
      </c>
      <c r="AD79" s="28">
        <f t="shared" si="30"/>
        <v>0</v>
      </c>
      <c r="AF79" s="2">
        <f t="shared" si="31"/>
        <v>172861.65396184337</v>
      </c>
      <c r="AG79" s="62">
        <f>(B79+Q79+Z79)/Dashboard!$I$25</f>
        <v>0.69144661584737355</v>
      </c>
      <c r="AH79" s="20">
        <f t="shared" si="32"/>
        <v>1.5E-3</v>
      </c>
      <c r="AI79" s="20">
        <f>IF($D$2="JA",Dashboard!$K$26-$AH$11+AH79,Dashboard!$K$26)</f>
        <v>2.5300000000000003E-2</v>
      </c>
      <c r="AJ79" s="27">
        <f>Tabel2[[#This Row],[Schuldrest]]*AI79/12</f>
        <v>364.4499871028865</v>
      </c>
      <c r="AK79" s="20">
        <f>IF($D$2="JA",Dashboard!$K$27-$AH$11+AH79,Dashboard!$K$27)</f>
        <v>2.5300000000000003E-2</v>
      </c>
      <c r="AL79" s="27">
        <f t="shared" si="18"/>
        <v>0</v>
      </c>
      <c r="AM79" s="20">
        <f>IF($D$2="JA",Dashboard!$K$28-$AH$11+AH79,Dashboard!$K$28)</f>
        <v>2.5300000000000003E-2</v>
      </c>
      <c r="AN79" s="27">
        <f t="shared" si="19"/>
        <v>0</v>
      </c>
      <c r="AO79" s="63">
        <f>Tabel2[[#This Row],[Aflossing]]+V79</f>
        <v>428.95174238653584</v>
      </c>
      <c r="AP79" s="63">
        <f t="shared" si="33"/>
        <v>364.4499871028865</v>
      </c>
      <c r="AQ79" s="2">
        <f t="shared" si="20"/>
        <v>387.29952863592149</v>
      </c>
      <c r="AU79" s="20"/>
      <c r="AV79" s="20"/>
    </row>
    <row r="80" spans="1:48">
      <c r="A80" s="71">
        <v>69</v>
      </c>
      <c r="B80" s="77">
        <f t="shared" si="21"/>
        <v>172432.70221945684</v>
      </c>
      <c r="C80" s="73">
        <f>B80/Dashboard!$I$25</f>
        <v>0.68973080887782734</v>
      </c>
      <c r="D80" s="74">
        <f t="shared" si="22"/>
        <v>1.5E-3</v>
      </c>
      <c r="E80" s="73">
        <f>IF($D$2="JA",Dashboard!$K$26-$D$11+D80,Dashboard!$K$26)</f>
        <v>2.5300000000000003E-2</v>
      </c>
      <c r="F80" s="72">
        <f t="shared" si="23"/>
        <v>363.54561384602152</v>
      </c>
      <c r="G80" s="72">
        <f t="shared" si="34"/>
        <v>429.8561156434007</v>
      </c>
      <c r="H80" s="72">
        <f>IFERROR(-PMT(E80^1/12,Dashboard!$I$30-A80,B80),0)</f>
        <v>793.40172948942222</v>
      </c>
      <c r="I80" s="75">
        <f t="shared" si="24"/>
        <v>793.40172948942222</v>
      </c>
      <c r="J80" s="76">
        <f t="shared" si="35"/>
        <v>172995.91307527715</v>
      </c>
      <c r="K80" s="76">
        <f>J80*Dashboard!$K$26/12</f>
        <v>386.35753920145231</v>
      </c>
      <c r="L80" s="76">
        <f t="shared" si="25"/>
        <v>422.72830337590284</v>
      </c>
      <c r="M80" s="76">
        <f>IF(H80=0,0,IFERROR(-PMT(Dashboard!$K$26^1/12,Dashboard!$I$30,Dashboard!$I$26),0))</f>
        <v>809.08584257735515</v>
      </c>
      <c r="P80" s="59">
        <v>69</v>
      </c>
      <c r="Q80" s="28">
        <f t="shared" si="26"/>
        <v>0</v>
      </c>
      <c r="R80" s="20">
        <f>Q80/Dashboard!$I$25</f>
        <v>0</v>
      </c>
      <c r="S80" s="20">
        <f t="shared" si="27"/>
        <v>0</v>
      </c>
      <c r="T80" s="20">
        <f>IF($D$2="JA",Dashboard!$K$27-$S$11+S80,Dashboard!$K$27)</f>
        <v>2.6800000000000001E-2</v>
      </c>
      <c r="U80" s="27">
        <f t="shared" si="28"/>
        <v>0</v>
      </c>
      <c r="V80" s="26">
        <f>IF(Q80&lt;=1,0,Dashboard!$I$27/Dashboard!$I$30)</f>
        <v>0</v>
      </c>
      <c r="W80" s="28">
        <f>Q80*Dashboard!$K$27/12</f>
        <v>0</v>
      </c>
      <c r="Y80" s="59">
        <v>69</v>
      </c>
      <c r="Z80" s="67">
        <f>Dashboard!$I$28</f>
        <v>0</v>
      </c>
      <c r="AA80" s="64">
        <f>IF(Z80&lt;=1,0,Dashboard!$I$30-Y80)</f>
        <v>0</v>
      </c>
      <c r="AB80" s="64">
        <f t="shared" si="29"/>
        <v>0</v>
      </c>
      <c r="AC80" s="1">
        <f>Dashboard!$K$28</f>
        <v>2.6800000000000001E-2</v>
      </c>
      <c r="AD80" s="28">
        <f t="shared" si="30"/>
        <v>0</v>
      </c>
      <c r="AF80" s="2">
        <f t="shared" si="31"/>
        <v>172432.70221945684</v>
      </c>
      <c r="AG80" s="62">
        <f>(B80+Q80+Z80)/Dashboard!$I$25</f>
        <v>0.68973080887782734</v>
      </c>
      <c r="AH80" s="20">
        <f t="shared" si="32"/>
        <v>1.5E-3</v>
      </c>
      <c r="AI80" s="20">
        <f>IF($D$2="JA",Dashboard!$K$26-$AH$11+AH80,Dashboard!$K$26)</f>
        <v>2.5300000000000003E-2</v>
      </c>
      <c r="AJ80" s="27">
        <f>Tabel2[[#This Row],[Schuldrest]]*AI80/12</f>
        <v>363.54561384602152</v>
      </c>
      <c r="AK80" s="20">
        <f>IF($D$2="JA",Dashboard!$K$27-$AH$11+AH80,Dashboard!$K$27)</f>
        <v>2.5300000000000003E-2</v>
      </c>
      <c r="AL80" s="27">
        <f t="shared" si="18"/>
        <v>0</v>
      </c>
      <c r="AM80" s="20">
        <f>IF($D$2="JA",Dashboard!$K$28-$AH$11+AH80,Dashboard!$K$28)</f>
        <v>2.5300000000000003E-2</v>
      </c>
      <c r="AN80" s="27">
        <f t="shared" si="19"/>
        <v>0</v>
      </c>
      <c r="AO80" s="63">
        <f>Tabel2[[#This Row],[Aflossing]]+V80</f>
        <v>429.8561156434007</v>
      </c>
      <c r="AP80" s="63">
        <f t="shared" si="33"/>
        <v>363.54561384602152</v>
      </c>
      <c r="AQ80" s="2">
        <f t="shared" si="20"/>
        <v>386.35753920145231</v>
      </c>
      <c r="AU80" s="20"/>
      <c r="AV80" s="20"/>
    </row>
    <row r="81" spans="1:48">
      <c r="A81" s="71">
        <v>70</v>
      </c>
      <c r="B81" s="77">
        <f t="shared" si="21"/>
        <v>172002.84610381344</v>
      </c>
      <c r="C81" s="73">
        <f>B81/Dashboard!$I$25</f>
        <v>0.68801138441525378</v>
      </c>
      <c r="D81" s="74">
        <f t="shared" si="22"/>
        <v>1.5E-3</v>
      </c>
      <c r="E81" s="73">
        <f>IF($D$2="JA",Dashboard!$K$26-$D$11+D81,Dashboard!$K$26)</f>
        <v>2.5300000000000003E-2</v>
      </c>
      <c r="F81" s="72">
        <f t="shared" si="23"/>
        <v>362.63933386887339</v>
      </c>
      <c r="G81" s="72">
        <f t="shared" si="34"/>
        <v>430.76239562054894</v>
      </c>
      <c r="H81" s="72">
        <f>IFERROR(-PMT(E81^1/12,Dashboard!$I$30-A81,B81),0)</f>
        <v>793.40172948942234</v>
      </c>
      <c r="I81" s="75">
        <f t="shared" si="24"/>
        <v>793.40172948942234</v>
      </c>
      <c r="J81" s="76">
        <f t="shared" si="35"/>
        <v>172573.18477190123</v>
      </c>
      <c r="K81" s="76">
        <f>J81*Dashboard!$K$26/12</f>
        <v>385.41344599057942</v>
      </c>
      <c r="L81" s="76">
        <f t="shared" si="25"/>
        <v>423.67239658677573</v>
      </c>
      <c r="M81" s="76">
        <f>IF(H81=0,0,IFERROR(-PMT(Dashboard!$K$26^1/12,Dashboard!$I$30,Dashboard!$I$26),0))</f>
        <v>809.08584257735515</v>
      </c>
      <c r="P81" s="59">
        <v>70</v>
      </c>
      <c r="Q81" s="28">
        <f t="shared" si="26"/>
        <v>0</v>
      </c>
      <c r="R81" s="20">
        <f>Q81/Dashboard!$I$25</f>
        <v>0</v>
      </c>
      <c r="S81" s="20">
        <f t="shared" si="27"/>
        <v>0</v>
      </c>
      <c r="T81" s="20">
        <f>IF($D$2="JA",Dashboard!$K$27-$S$11+S81,Dashboard!$K$27)</f>
        <v>2.6800000000000001E-2</v>
      </c>
      <c r="U81" s="27">
        <f t="shared" si="28"/>
        <v>0</v>
      </c>
      <c r="V81" s="26">
        <f>IF(Q81&lt;=1,0,Dashboard!$I$27/Dashboard!$I$30)</f>
        <v>0</v>
      </c>
      <c r="W81" s="28">
        <f>Q81*Dashboard!$K$27/12</f>
        <v>0</v>
      </c>
      <c r="Y81" s="59">
        <v>70</v>
      </c>
      <c r="Z81" s="67">
        <f>Dashboard!$I$28</f>
        <v>0</v>
      </c>
      <c r="AA81" s="64">
        <f>IF(Z81&lt;=1,0,Dashboard!$I$30-Y81)</f>
        <v>0</v>
      </c>
      <c r="AB81" s="64">
        <f t="shared" si="29"/>
        <v>0</v>
      </c>
      <c r="AC81" s="1">
        <f>Dashboard!$K$28</f>
        <v>2.6800000000000001E-2</v>
      </c>
      <c r="AD81" s="28">
        <f t="shared" si="30"/>
        <v>0</v>
      </c>
      <c r="AF81" s="2">
        <f t="shared" si="31"/>
        <v>172002.84610381344</v>
      </c>
      <c r="AG81" s="62">
        <f>(B81+Q81+Z81)/Dashboard!$I$25</f>
        <v>0.68801138441525378</v>
      </c>
      <c r="AH81" s="20">
        <f t="shared" si="32"/>
        <v>1.5E-3</v>
      </c>
      <c r="AI81" s="20">
        <f>IF($D$2="JA",Dashboard!$K$26-$AH$11+AH81,Dashboard!$K$26)</f>
        <v>2.5300000000000003E-2</v>
      </c>
      <c r="AJ81" s="27">
        <f>Tabel2[[#This Row],[Schuldrest]]*AI81/12</f>
        <v>362.63933386887339</v>
      </c>
      <c r="AK81" s="20">
        <f>IF($D$2="JA",Dashboard!$K$27-$AH$11+AH81,Dashboard!$K$27)</f>
        <v>2.5300000000000003E-2</v>
      </c>
      <c r="AL81" s="27">
        <f t="shared" si="18"/>
        <v>0</v>
      </c>
      <c r="AM81" s="20">
        <f>IF($D$2="JA",Dashboard!$K$28-$AH$11+AH81,Dashboard!$K$28)</f>
        <v>2.5300000000000003E-2</v>
      </c>
      <c r="AN81" s="27">
        <f t="shared" si="19"/>
        <v>0</v>
      </c>
      <c r="AO81" s="63">
        <f>Tabel2[[#This Row],[Aflossing]]+V81</f>
        <v>430.76239562054894</v>
      </c>
      <c r="AP81" s="63">
        <f t="shared" si="33"/>
        <v>362.63933386887339</v>
      </c>
      <c r="AQ81" s="2">
        <f t="shared" si="20"/>
        <v>385.41344599057942</v>
      </c>
      <c r="AU81" s="20"/>
      <c r="AV81" s="20"/>
    </row>
    <row r="82" spans="1:48">
      <c r="A82" s="71">
        <v>71</v>
      </c>
      <c r="B82" s="77">
        <f t="shared" si="21"/>
        <v>171572.08370819289</v>
      </c>
      <c r="C82" s="73">
        <f>B82/Dashboard!$I$25</f>
        <v>0.68628833483277152</v>
      </c>
      <c r="D82" s="74">
        <f t="shared" si="22"/>
        <v>1.5E-3</v>
      </c>
      <c r="E82" s="73">
        <f>IF($D$2="JA",Dashboard!$K$26-$D$11+D82,Dashboard!$K$26)</f>
        <v>2.5300000000000003E-2</v>
      </c>
      <c r="F82" s="72">
        <f t="shared" si="23"/>
        <v>361.73114315144011</v>
      </c>
      <c r="G82" s="72">
        <f t="shared" si="34"/>
        <v>431.67058633798234</v>
      </c>
      <c r="H82" s="72">
        <f>IFERROR(-PMT(E82^1/12,Dashboard!$I$30-A82,B82),0)</f>
        <v>793.40172948942245</v>
      </c>
      <c r="I82" s="75">
        <f t="shared" si="24"/>
        <v>793.40172948942245</v>
      </c>
      <c r="J82" s="76">
        <f t="shared" si="35"/>
        <v>172149.51237531446</v>
      </c>
      <c r="K82" s="76">
        <f>J82*Dashboard!$K$26/12</f>
        <v>384.46724430486898</v>
      </c>
      <c r="L82" s="76">
        <f t="shared" si="25"/>
        <v>424.61859827248617</v>
      </c>
      <c r="M82" s="76">
        <f>IF(H82=0,0,IFERROR(-PMT(Dashboard!$K$26^1/12,Dashboard!$I$30,Dashboard!$I$26),0))</f>
        <v>809.08584257735515</v>
      </c>
      <c r="P82" s="59">
        <v>71</v>
      </c>
      <c r="Q82" s="28">
        <f t="shared" si="26"/>
        <v>0</v>
      </c>
      <c r="R82" s="20">
        <f>Q82/Dashboard!$I$25</f>
        <v>0</v>
      </c>
      <c r="S82" s="20">
        <f t="shared" si="27"/>
        <v>0</v>
      </c>
      <c r="T82" s="20">
        <f>IF($D$2="JA",Dashboard!$K$27-$S$11+S82,Dashboard!$K$27)</f>
        <v>2.6800000000000001E-2</v>
      </c>
      <c r="U82" s="27">
        <f t="shared" si="28"/>
        <v>0</v>
      </c>
      <c r="V82" s="26">
        <f>IF(Q82&lt;=1,0,Dashboard!$I$27/Dashboard!$I$30)</f>
        <v>0</v>
      </c>
      <c r="W82" s="28">
        <f>Q82*Dashboard!$K$27/12</f>
        <v>0</v>
      </c>
      <c r="Y82" s="59">
        <v>71</v>
      </c>
      <c r="Z82" s="67">
        <f>Dashboard!$I$28</f>
        <v>0</v>
      </c>
      <c r="AA82" s="64">
        <f>IF(Z82&lt;=1,0,Dashboard!$I$30-Y82)</f>
        <v>0</v>
      </c>
      <c r="AB82" s="64">
        <f t="shared" si="29"/>
        <v>0</v>
      </c>
      <c r="AC82" s="1">
        <f>Dashboard!$K$28</f>
        <v>2.6800000000000001E-2</v>
      </c>
      <c r="AD82" s="28">
        <f t="shared" si="30"/>
        <v>0</v>
      </c>
      <c r="AF82" s="2">
        <f t="shared" si="31"/>
        <v>171572.08370819289</v>
      </c>
      <c r="AG82" s="62">
        <f>(B82+Q82+Z82)/Dashboard!$I$25</f>
        <v>0.68628833483277152</v>
      </c>
      <c r="AH82" s="20">
        <f t="shared" si="32"/>
        <v>1.5E-3</v>
      </c>
      <c r="AI82" s="20">
        <f>IF($D$2="JA",Dashboard!$K$26-$AH$11+AH82,Dashboard!$K$26)</f>
        <v>2.5300000000000003E-2</v>
      </c>
      <c r="AJ82" s="27">
        <f>Tabel2[[#This Row],[Schuldrest]]*AI82/12</f>
        <v>361.73114315144011</v>
      </c>
      <c r="AK82" s="20">
        <f>IF($D$2="JA",Dashboard!$K$27-$AH$11+AH82,Dashboard!$K$27)</f>
        <v>2.5300000000000003E-2</v>
      </c>
      <c r="AL82" s="27">
        <f t="shared" si="18"/>
        <v>0</v>
      </c>
      <c r="AM82" s="20">
        <f>IF($D$2="JA",Dashboard!$K$28-$AH$11+AH82,Dashboard!$K$28)</f>
        <v>2.5300000000000003E-2</v>
      </c>
      <c r="AN82" s="27">
        <f t="shared" si="19"/>
        <v>0</v>
      </c>
      <c r="AO82" s="63">
        <f>Tabel2[[#This Row],[Aflossing]]+V82</f>
        <v>431.67058633798234</v>
      </c>
      <c r="AP82" s="63">
        <f t="shared" si="33"/>
        <v>361.73114315144011</v>
      </c>
      <c r="AQ82" s="2">
        <f t="shared" si="20"/>
        <v>384.46724430486898</v>
      </c>
      <c r="AU82" s="20"/>
      <c r="AV82" s="20"/>
    </row>
    <row r="83" spans="1:48">
      <c r="A83" s="71">
        <v>72</v>
      </c>
      <c r="B83" s="77">
        <f t="shared" si="21"/>
        <v>171140.41312185492</v>
      </c>
      <c r="C83" s="73">
        <f>B83/Dashboard!$I$25</f>
        <v>0.68456165248741963</v>
      </c>
      <c r="D83" s="74">
        <f t="shared" si="22"/>
        <v>1.5E-3</v>
      </c>
      <c r="E83" s="73">
        <f>IF($D$2="JA",Dashboard!$K$26-$D$11+D83,Dashboard!$K$26)</f>
        <v>2.5300000000000003E-2</v>
      </c>
      <c r="F83" s="72">
        <f t="shared" si="23"/>
        <v>360.82103766524415</v>
      </c>
      <c r="G83" s="72">
        <f t="shared" si="34"/>
        <v>432.58069182417842</v>
      </c>
      <c r="H83" s="72">
        <f>IFERROR(-PMT(E83^1/12,Dashboard!$I$30-A83,B83),0)</f>
        <v>793.40172948942256</v>
      </c>
      <c r="I83" s="75">
        <f t="shared" si="24"/>
        <v>793.40172948942256</v>
      </c>
      <c r="J83" s="76">
        <f t="shared" si="35"/>
        <v>171724.89377704196</v>
      </c>
      <c r="K83" s="76">
        <f>J83*Dashboard!$K$26/12</f>
        <v>383.51892943539377</v>
      </c>
      <c r="L83" s="76">
        <f t="shared" si="25"/>
        <v>425.56691314196138</v>
      </c>
      <c r="M83" s="76">
        <f>IF(H83=0,0,IFERROR(-PMT(Dashboard!$K$26^1/12,Dashboard!$I$30,Dashboard!$I$26),0))</f>
        <v>809.08584257735515</v>
      </c>
      <c r="P83" s="59">
        <v>72</v>
      </c>
      <c r="Q83" s="28">
        <f t="shared" si="26"/>
        <v>0</v>
      </c>
      <c r="R83" s="20">
        <f>Q83/Dashboard!$I$25</f>
        <v>0</v>
      </c>
      <c r="S83" s="20">
        <f t="shared" si="27"/>
        <v>0</v>
      </c>
      <c r="T83" s="20">
        <f>IF($D$2="JA",Dashboard!$K$27-$S$11+S83,Dashboard!$K$27)</f>
        <v>2.6800000000000001E-2</v>
      </c>
      <c r="U83" s="27">
        <f t="shared" si="28"/>
        <v>0</v>
      </c>
      <c r="V83" s="26">
        <f>IF(Q83&lt;=1,0,Dashboard!$I$27/Dashboard!$I$30)</f>
        <v>0</v>
      </c>
      <c r="W83" s="28">
        <f>Q83*Dashboard!$K$27/12</f>
        <v>0</v>
      </c>
      <c r="Y83" s="59">
        <v>72</v>
      </c>
      <c r="Z83" s="67">
        <f>Dashboard!$I$28</f>
        <v>0</v>
      </c>
      <c r="AA83" s="64">
        <f>IF(Z83&lt;=1,0,Dashboard!$I$30-Y83)</f>
        <v>0</v>
      </c>
      <c r="AB83" s="64">
        <f t="shared" si="29"/>
        <v>0</v>
      </c>
      <c r="AC83" s="1">
        <f>Dashboard!$K$28</f>
        <v>2.6800000000000001E-2</v>
      </c>
      <c r="AD83" s="28">
        <f t="shared" si="30"/>
        <v>0</v>
      </c>
      <c r="AF83" s="2">
        <f t="shared" si="31"/>
        <v>171140.41312185492</v>
      </c>
      <c r="AG83" s="62">
        <f>(B83+Q83+Z83)/Dashboard!$I$25</f>
        <v>0.68456165248741963</v>
      </c>
      <c r="AH83" s="20">
        <f t="shared" si="32"/>
        <v>1.5E-3</v>
      </c>
      <c r="AI83" s="20">
        <f>IF($D$2="JA",Dashboard!$K$26-$AH$11+AH83,Dashboard!$K$26)</f>
        <v>2.5300000000000003E-2</v>
      </c>
      <c r="AJ83" s="27">
        <f>Tabel2[[#This Row],[Schuldrest]]*AI83/12</f>
        <v>360.82103766524415</v>
      </c>
      <c r="AK83" s="20">
        <f>IF($D$2="JA",Dashboard!$K$27-$AH$11+AH83,Dashboard!$K$27)</f>
        <v>2.5300000000000003E-2</v>
      </c>
      <c r="AL83" s="27">
        <f t="shared" si="18"/>
        <v>0</v>
      </c>
      <c r="AM83" s="20">
        <f>IF($D$2="JA",Dashboard!$K$28-$AH$11+AH83,Dashboard!$K$28)</f>
        <v>2.5300000000000003E-2</v>
      </c>
      <c r="AN83" s="27">
        <f t="shared" si="19"/>
        <v>0</v>
      </c>
      <c r="AO83" s="63">
        <f>Tabel2[[#This Row],[Aflossing]]+V83</f>
        <v>432.58069182417842</v>
      </c>
      <c r="AP83" s="63">
        <f t="shared" si="33"/>
        <v>360.82103766524415</v>
      </c>
      <c r="AQ83" s="2">
        <f t="shared" si="20"/>
        <v>383.51892943539377</v>
      </c>
      <c r="AU83" s="20"/>
      <c r="AV83" s="20"/>
    </row>
    <row r="84" spans="1:48">
      <c r="A84" s="71">
        <v>73</v>
      </c>
      <c r="B84" s="77">
        <f t="shared" si="21"/>
        <v>170707.83243003074</v>
      </c>
      <c r="C84" s="73">
        <f>B84/Dashboard!$I$25</f>
        <v>0.68283132972012295</v>
      </c>
      <c r="D84" s="74">
        <f t="shared" si="22"/>
        <v>1.5E-3</v>
      </c>
      <c r="E84" s="73">
        <f>IF($D$2="JA",Dashboard!$K$26-$D$11+D84,Dashboard!$K$26)</f>
        <v>2.5300000000000003E-2</v>
      </c>
      <c r="F84" s="72">
        <f t="shared" si="23"/>
        <v>359.90901337331485</v>
      </c>
      <c r="G84" s="72">
        <f t="shared" si="34"/>
        <v>433.49271611610749</v>
      </c>
      <c r="H84" s="72">
        <f>IFERROR(-PMT(E84^1/12,Dashboard!$I$30-A84,B84),0)</f>
        <v>793.40172948942234</v>
      </c>
      <c r="I84" s="75">
        <f t="shared" si="24"/>
        <v>793.40172948942234</v>
      </c>
      <c r="J84" s="76">
        <f t="shared" si="35"/>
        <v>171299.3268639</v>
      </c>
      <c r="K84" s="76">
        <f>J84*Dashboard!$K$26/12</f>
        <v>382.56849666271</v>
      </c>
      <c r="L84" s="76">
        <f t="shared" si="25"/>
        <v>426.51734591464515</v>
      </c>
      <c r="M84" s="76">
        <f>IF(H84=0,0,IFERROR(-PMT(Dashboard!$K$26^1/12,Dashboard!$I$30,Dashboard!$I$26),0))</f>
        <v>809.08584257735515</v>
      </c>
      <c r="P84" s="59">
        <v>73</v>
      </c>
      <c r="Q84" s="28">
        <f t="shared" si="26"/>
        <v>0</v>
      </c>
      <c r="R84" s="20">
        <f>Q84/Dashboard!$I$25</f>
        <v>0</v>
      </c>
      <c r="S84" s="20">
        <f t="shared" si="27"/>
        <v>0</v>
      </c>
      <c r="T84" s="20">
        <f>IF($D$2="JA",Dashboard!$K$27-$S$11+S84,Dashboard!$K$27)</f>
        <v>2.6800000000000001E-2</v>
      </c>
      <c r="U84" s="27">
        <f t="shared" si="28"/>
        <v>0</v>
      </c>
      <c r="V84" s="26">
        <f>IF(Q84&lt;=1,0,Dashboard!$I$27/Dashboard!$I$30)</f>
        <v>0</v>
      </c>
      <c r="W84" s="28">
        <f>Q84*Dashboard!$K$27/12</f>
        <v>0</v>
      </c>
      <c r="Y84" s="59">
        <v>73</v>
      </c>
      <c r="Z84" s="67">
        <f>Dashboard!$I$28</f>
        <v>0</v>
      </c>
      <c r="AA84" s="64">
        <f>IF(Z84&lt;=1,0,Dashboard!$I$30-Y84)</f>
        <v>0</v>
      </c>
      <c r="AB84" s="64">
        <f t="shared" si="29"/>
        <v>0</v>
      </c>
      <c r="AC84" s="1">
        <f>Dashboard!$K$28</f>
        <v>2.6800000000000001E-2</v>
      </c>
      <c r="AD84" s="28">
        <f t="shared" si="30"/>
        <v>0</v>
      </c>
      <c r="AF84" s="2">
        <f t="shared" si="31"/>
        <v>170707.83243003074</v>
      </c>
      <c r="AG84" s="62">
        <f>(B84+Q84+Z84)/Dashboard!$I$25</f>
        <v>0.68283132972012295</v>
      </c>
      <c r="AH84" s="20">
        <f t="shared" si="32"/>
        <v>1.5E-3</v>
      </c>
      <c r="AI84" s="20">
        <f>IF($D$2="JA",Dashboard!$K$26-$AH$11+AH84,Dashboard!$K$26)</f>
        <v>2.5300000000000003E-2</v>
      </c>
      <c r="AJ84" s="27">
        <f>Tabel2[[#This Row],[Schuldrest]]*AI84/12</f>
        <v>359.90901337331485</v>
      </c>
      <c r="AK84" s="20">
        <f>IF($D$2="JA",Dashboard!$K$27-$AH$11+AH84,Dashboard!$K$27)</f>
        <v>2.5300000000000003E-2</v>
      </c>
      <c r="AL84" s="27">
        <f t="shared" si="18"/>
        <v>0</v>
      </c>
      <c r="AM84" s="20">
        <f>IF($D$2="JA",Dashboard!$K$28-$AH$11+AH84,Dashboard!$K$28)</f>
        <v>2.5300000000000003E-2</v>
      </c>
      <c r="AN84" s="27">
        <f t="shared" si="19"/>
        <v>0</v>
      </c>
      <c r="AO84" s="63">
        <f>Tabel2[[#This Row],[Aflossing]]+V84</f>
        <v>433.49271611610749</v>
      </c>
      <c r="AP84" s="63">
        <f t="shared" si="33"/>
        <v>359.90901337331485</v>
      </c>
      <c r="AQ84" s="2">
        <f t="shared" si="20"/>
        <v>382.56849666271</v>
      </c>
      <c r="AU84" s="20"/>
      <c r="AV84" s="20"/>
    </row>
    <row r="85" spans="1:48">
      <c r="A85" s="71">
        <v>74</v>
      </c>
      <c r="B85" s="77">
        <f t="shared" si="21"/>
        <v>170274.33971391464</v>
      </c>
      <c r="C85" s="73">
        <f>B85/Dashboard!$I$25</f>
        <v>0.68109735885565859</v>
      </c>
      <c r="D85" s="74">
        <f t="shared" si="22"/>
        <v>1.5E-3</v>
      </c>
      <c r="E85" s="73">
        <f>IF($D$2="JA",Dashboard!$K$26-$D$11+D85,Dashboard!$K$26)</f>
        <v>2.5300000000000003E-2</v>
      </c>
      <c r="F85" s="72">
        <f t="shared" si="23"/>
        <v>358.9950662301701</v>
      </c>
      <c r="G85" s="72">
        <f t="shared" si="34"/>
        <v>434.40666325925224</v>
      </c>
      <c r="H85" s="72">
        <f>IFERROR(-PMT(E85^1/12,Dashboard!$I$30-A85,B85),0)</f>
        <v>793.40172948942234</v>
      </c>
      <c r="I85" s="75">
        <f t="shared" si="24"/>
        <v>793.40172948942234</v>
      </c>
      <c r="J85" s="76">
        <f t="shared" si="35"/>
        <v>170872.80951798536</v>
      </c>
      <c r="K85" s="76">
        <f>J85*Dashboard!$K$26/12</f>
        <v>381.61594125683399</v>
      </c>
      <c r="L85" s="76">
        <f t="shared" si="25"/>
        <v>427.46990132052116</v>
      </c>
      <c r="M85" s="76">
        <f>IF(H85=0,0,IFERROR(-PMT(Dashboard!$K$26^1/12,Dashboard!$I$30,Dashboard!$I$26),0))</f>
        <v>809.08584257735515</v>
      </c>
      <c r="P85" s="59">
        <v>74</v>
      </c>
      <c r="Q85" s="28">
        <f t="shared" si="26"/>
        <v>0</v>
      </c>
      <c r="R85" s="20">
        <f>Q85/Dashboard!$I$25</f>
        <v>0</v>
      </c>
      <c r="S85" s="20">
        <f t="shared" si="27"/>
        <v>0</v>
      </c>
      <c r="T85" s="20">
        <f>IF($D$2="JA",Dashboard!$K$27-$S$11+S85,Dashboard!$K$27)</f>
        <v>2.6800000000000001E-2</v>
      </c>
      <c r="U85" s="27">
        <f t="shared" si="28"/>
        <v>0</v>
      </c>
      <c r="V85" s="26">
        <f>IF(Q85&lt;=1,0,Dashboard!$I$27/Dashboard!$I$30)</f>
        <v>0</v>
      </c>
      <c r="W85" s="28">
        <f>Q85*Dashboard!$K$27/12</f>
        <v>0</v>
      </c>
      <c r="Y85" s="59">
        <v>74</v>
      </c>
      <c r="Z85" s="67">
        <f>Dashboard!$I$28</f>
        <v>0</v>
      </c>
      <c r="AA85" s="64">
        <f>IF(Z85&lt;=1,0,Dashboard!$I$30-Y85)</f>
        <v>0</v>
      </c>
      <c r="AB85" s="64">
        <f t="shared" si="29"/>
        <v>0</v>
      </c>
      <c r="AC85" s="1">
        <f>Dashboard!$K$28</f>
        <v>2.6800000000000001E-2</v>
      </c>
      <c r="AD85" s="28">
        <f t="shared" si="30"/>
        <v>0</v>
      </c>
      <c r="AF85" s="2">
        <f t="shared" si="31"/>
        <v>170274.33971391464</v>
      </c>
      <c r="AG85" s="62">
        <f>(B85+Q85+Z85)/Dashboard!$I$25</f>
        <v>0.68109735885565859</v>
      </c>
      <c r="AH85" s="20">
        <f t="shared" si="32"/>
        <v>1.5E-3</v>
      </c>
      <c r="AI85" s="20">
        <f>IF($D$2="JA",Dashboard!$K$26-$AH$11+AH85,Dashboard!$K$26)</f>
        <v>2.5300000000000003E-2</v>
      </c>
      <c r="AJ85" s="27">
        <f>Tabel2[[#This Row],[Schuldrest]]*AI85/12</f>
        <v>358.9950662301701</v>
      </c>
      <c r="AK85" s="20">
        <f>IF($D$2="JA",Dashboard!$K$27-$AH$11+AH85,Dashboard!$K$27)</f>
        <v>2.5300000000000003E-2</v>
      </c>
      <c r="AL85" s="27">
        <f t="shared" si="18"/>
        <v>0</v>
      </c>
      <c r="AM85" s="20">
        <f>IF($D$2="JA",Dashboard!$K$28-$AH$11+AH85,Dashboard!$K$28)</f>
        <v>2.5300000000000003E-2</v>
      </c>
      <c r="AN85" s="27">
        <f t="shared" si="19"/>
        <v>0</v>
      </c>
      <c r="AO85" s="63">
        <f>Tabel2[[#This Row],[Aflossing]]+V85</f>
        <v>434.40666325925224</v>
      </c>
      <c r="AP85" s="63">
        <f t="shared" si="33"/>
        <v>358.9950662301701</v>
      </c>
      <c r="AQ85" s="2">
        <f t="shared" si="20"/>
        <v>381.61594125683399</v>
      </c>
      <c r="AU85" s="20"/>
      <c r="AV85" s="20"/>
    </row>
    <row r="86" spans="1:48">
      <c r="A86" s="71">
        <v>75</v>
      </c>
      <c r="B86" s="77">
        <f t="shared" si="21"/>
        <v>169839.93305065538</v>
      </c>
      <c r="C86" s="73">
        <f>B86/Dashboard!$I$25</f>
        <v>0.67935973220262158</v>
      </c>
      <c r="D86" s="74">
        <f t="shared" si="22"/>
        <v>1.5E-3</v>
      </c>
      <c r="E86" s="73">
        <f>IF($D$2="JA",Dashboard!$K$26-$D$11+D86,Dashboard!$K$26)</f>
        <v>2.5300000000000003E-2</v>
      </c>
      <c r="F86" s="72">
        <f t="shared" si="23"/>
        <v>358.07919218179842</v>
      </c>
      <c r="G86" s="72">
        <f t="shared" si="34"/>
        <v>435.32253730762403</v>
      </c>
      <c r="H86" s="72">
        <f>IFERROR(-PMT(E86^1/12,Dashboard!$I$30-A86,B86),0)</f>
        <v>793.40172948942245</v>
      </c>
      <c r="I86" s="75">
        <f t="shared" si="24"/>
        <v>793.40172948942245</v>
      </c>
      <c r="J86" s="76">
        <f t="shared" si="35"/>
        <v>170445.33961666483</v>
      </c>
      <c r="K86" s="76">
        <f>J86*Dashboard!$K$26/12</f>
        <v>380.6612584772181</v>
      </c>
      <c r="L86" s="76">
        <f t="shared" si="25"/>
        <v>428.42458410013705</v>
      </c>
      <c r="M86" s="76">
        <f>IF(H86=0,0,IFERROR(-PMT(Dashboard!$K$26^1/12,Dashboard!$I$30,Dashboard!$I$26),0))</f>
        <v>809.08584257735515</v>
      </c>
      <c r="P86" s="59">
        <v>75</v>
      </c>
      <c r="Q86" s="28">
        <f t="shared" si="26"/>
        <v>0</v>
      </c>
      <c r="R86" s="20">
        <f>Q86/Dashboard!$I$25</f>
        <v>0</v>
      </c>
      <c r="S86" s="20">
        <f t="shared" si="27"/>
        <v>0</v>
      </c>
      <c r="T86" s="20">
        <f>IF($D$2="JA",Dashboard!$K$27-$S$11+S86,Dashboard!$K$27)</f>
        <v>2.6800000000000001E-2</v>
      </c>
      <c r="U86" s="27">
        <f t="shared" si="28"/>
        <v>0</v>
      </c>
      <c r="V86" s="26">
        <f>IF(Q86&lt;=1,0,Dashboard!$I$27/Dashboard!$I$30)</f>
        <v>0</v>
      </c>
      <c r="W86" s="28">
        <f>Q86*Dashboard!$K$27/12</f>
        <v>0</v>
      </c>
      <c r="Y86" s="59">
        <v>75</v>
      </c>
      <c r="Z86" s="67">
        <f>Dashboard!$I$28</f>
        <v>0</v>
      </c>
      <c r="AA86" s="64">
        <f>IF(Z86&lt;=1,0,Dashboard!$I$30-Y86)</f>
        <v>0</v>
      </c>
      <c r="AB86" s="64">
        <f t="shared" si="29"/>
        <v>0</v>
      </c>
      <c r="AC86" s="1">
        <f>Dashboard!$K$28</f>
        <v>2.6800000000000001E-2</v>
      </c>
      <c r="AD86" s="28">
        <f t="shared" si="30"/>
        <v>0</v>
      </c>
      <c r="AF86" s="2">
        <f t="shared" si="31"/>
        <v>169839.93305065538</v>
      </c>
      <c r="AG86" s="62">
        <f>(B86+Q86+Z86)/Dashboard!$I$25</f>
        <v>0.67935973220262158</v>
      </c>
      <c r="AH86" s="20">
        <f t="shared" si="32"/>
        <v>1.5E-3</v>
      </c>
      <c r="AI86" s="20">
        <f>IF($D$2="JA",Dashboard!$K$26-$AH$11+AH86,Dashboard!$K$26)</f>
        <v>2.5300000000000003E-2</v>
      </c>
      <c r="AJ86" s="27">
        <f>Tabel2[[#This Row],[Schuldrest]]*AI86/12</f>
        <v>358.07919218179842</v>
      </c>
      <c r="AK86" s="20">
        <f>IF($D$2="JA",Dashboard!$K$27-$AH$11+AH86,Dashboard!$K$27)</f>
        <v>2.5300000000000003E-2</v>
      </c>
      <c r="AL86" s="27">
        <f t="shared" si="18"/>
        <v>0</v>
      </c>
      <c r="AM86" s="20">
        <f>IF($D$2="JA",Dashboard!$K$28-$AH$11+AH86,Dashboard!$K$28)</f>
        <v>2.5300000000000003E-2</v>
      </c>
      <c r="AN86" s="27">
        <f t="shared" si="19"/>
        <v>0</v>
      </c>
      <c r="AO86" s="63">
        <f>Tabel2[[#This Row],[Aflossing]]+V86</f>
        <v>435.32253730762403</v>
      </c>
      <c r="AP86" s="63">
        <f t="shared" si="33"/>
        <v>358.07919218179842</v>
      </c>
      <c r="AQ86" s="2">
        <f t="shared" si="20"/>
        <v>380.6612584772181</v>
      </c>
      <c r="AU86" s="20"/>
      <c r="AV86" s="20"/>
    </row>
    <row r="87" spans="1:48">
      <c r="A87" s="71">
        <v>76</v>
      </c>
      <c r="B87" s="77">
        <f t="shared" si="21"/>
        <v>169404.61051334775</v>
      </c>
      <c r="C87" s="73">
        <f>B87/Dashboard!$I$25</f>
        <v>0.67761844205339106</v>
      </c>
      <c r="D87" s="74">
        <f t="shared" si="22"/>
        <v>1.5E-3</v>
      </c>
      <c r="E87" s="73">
        <f>IF($D$2="JA",Dashboard!$K$26-$D$11+D87,Dashboard!$K$26)</f>
        <v>2.5300000000000003E-2</v>
      </c>
      <c r="F87" s="72">
        <f t="shared" si="23"/>
        <v>357.16138716564154</v>
      </c>
      <c r="G87" s="72">
        <f t="shared" si="34"/>
        <v>436.24034232378091</v>
      </c>
      <c r="H87" s="72">
        <f>IFERROR(-PMT(E87^1/12,Dashboard!$I$30-A87,B87),0)</f>
        <v>793.40172948942245</v>
      </c>
      <c r="I87" s="75">
        <f t="shared" si="24"/>
        <v>793.40172948942245</v>
      </c>
      <c r="J87" s="76">
        <f t="shared" si="35"/>
        <v>170016.91503256469</v>
      </c>
      <c r="K87" s="76">
        <f>J87*Dashboard!$K$26/12</f>
        <v>379.70444357272783</v>
      </c>
      <c r="L87" s="76">
        <f t="shared" si="25"/>
        <v>429.38139900462733</v>
      </c>
      <c r="M87" s="76">
        <f>IF(H87=0,0,IFERROR(-PMT(Dashboard!$K$26^1/12,Dashboard!$I$30,Dashboard!$I$26),0))</f>
        <v>809.08584257735515</v>
      </c>
      <c r="P87" s="59">
        <v>76</v>
      </c>
      <c r="Q87" s="28">
        <f t="shared" si="26"/>
        <v>0</v>
      </c>
      <c r="R87" s="20">
        <f>Q87/Dashboard!$I$25</f>
        <v>0</v>
      </c>
      <c r="S87" s="20">
        <f t="shared" si="27"/>
        <v>0</v>
      </c>
      <c r="T87" s="20">
        <f>IF($D$2="JA",Dashboard!$K$27-$S$11+S87,Dashboard!$K$27)</f>
        <v>2.6800000000000001E-2</v>
      </c>
      <c r="U87" s="27">
        <f t="shared" si="28"/>
        <v>0</v>
      </c>
      <c r="V87" s="26">
        <f>IF(Q87&lt;=1,0,Dashboard!$I$27/Dashboard!$I$30)</f>
        <v>0</v>
      </c>
      <c r="W87" s="28">
        <f>Q87*Dashboard!$K$27/12</f>
        <v>0</v>
      </c>
      <c r="Y87" s="59">
        <v>76</v>
      </c>
      <c r="Z87" s="67">
        <f>Dashboard!$I$28</f>
        <v>0</v>
      </c>
      <c r="AA87" s="64">
        <f>IF(Z87&lt;=1,0,Dashboard!$I$30-Y87)</f>
        <v>0</v>
      </c>
      <c r="AB87" s="64">
        <f t="shared" si="29"/>
        <v>0</v>
      </c>
      <c r="AC87" s="1">
        <f>Dashboard!$K$28</f>
        <v>2.6800000000000001E-2</v>
      </c>
      <c r="AD87" s="28">
        <f t="shared" si="30"/>
        <v>0</v>
      </c>
      <c r="AF87" s="2">
        <f t="shared" si="31"/>
        <v>169404.61051334775</v>
      </c>
      <c r="AG87" s="62">
        <f>(B87+Q87+Z87)/Dashboard!$I$25</f>
        <v>0.67761844205339106</v>
      </c>
      <c r="AH87" s="20">
        <f t="shared" si="32"/>
        <v>1.5E-3</v>
      </c>
      <c r="AI87" s="20">
        <f>IF($D$2="JA",Dashboard!$K$26-$AH$11+AH87,Dashboard!$K$26)</f>
        <v>2.5300000000000003E-2</v>
      </c>
      <c r="AJ87" s="27">
        <f>Tabel2[[#This Row],[Schuldrest]]*AI87/12</f>
        <v>357.16138716564154</v>
      </c>
      <c r="AK87" s="20">
        <f>IF($D$2="JA",Dashboard!$K$27-$AH$11+AH87,Dashboard!$K$27)</f>
        <v>2.5300000000000003E-2</v>
      </c>
      <c r="AL87" s="27">
        <f t="shared" si="18"/>
        <v>0</v>
      </c>
      <c r="AM87" s="20">
        <f>IF($D$2="JA",Dashboard!$K$28-$AH$11+AH87,Dashboard!$K$28)</f>
        <v>2.5300000000000003E-2</v>
      </c>
      <c r="AN87" s="27">
        <f t="shared" si="19"/>
        <v>0</v>
      </c>
      <c r="AO87" s="63">
        <f>Tabel2[[#This Row],[Aflossing]]+V87</f>
        <v>436.24034232378091</v>
      </c>
      <c r="AP87" s="63">
        <f t="shared" si="33"/>
        <v>357.16138716564154</v>
      </c>
      <c r="AQ87" s="2">
        <f t="shared" si="20"/>
        <v>379.70444357272783</v>
      </c>
      <c r="AU87" s="20"/>
      <c r="AV87" s="20"/>
    </row>
    <row r="88" spans="1:48">
      <c r="A88" s="71">
        <v>77</v>
      </c>
      <c r="B88" s="77">
        <f t="shared" si="21"/>
        <v>168968.37017102397</v>
      </c>
      <c r="C88" s="73">
        <f>B88/Dashboard!$I$25</f>
        <v>0.67587348068409592</v>
      </c>
      <c r="D88" s="74">
        <f t="shared" si="22"/>
        <v>1.5E-3</v>
      </c>
      <c r="E88" s="73">
        <f>IF($D$2="JA",Dashboard!$K$26-$D$11+D88,Dashboard!$K$26)</f>
        <v>2.5300000000000003E-2</v>
      </c>
      <c r="F88" s="72">
        <f t="shared" si="23"/>
        <v>356.24164711057557</v>
      </c>
      <c r="G88" s="72">
        <f t="shared" si="34"/>
        <v>437.16008237884677</v>
      </c>
      <c r="H88" s="72">
        <f>IFERROR(-PMT(E88^1/12,Dashboard!$I$30-A88,B88),0)</f>
        <v>793.40172948942234</v>
      </c>
      <c r="I88" s="75">
        <f t="shared" si="24"/>
        <v>793.40172948942234</v>
      </c>
      <c r="J88" s="76">
        <f t="shared" si="35"/>
        <v>169587.53363356006</v>
      </c>
      <c r="K88" s="76">
        <f>J88*Dashboard!$K$26/12</f>
        <v>378.74549178161743</v>
      </c>
      <c r="L88" s="76">
        <f t="shared" si="25"/>
        <v>430.34035079573772</v>
      </c>
      <c r="M88" s="76">
        <f>IF(H88=0,0,IFERROR(-PMT(Dashboard!$K$26^1/12,Dashboard!$I$30,Dashboard!$I$26),0))</f>
        <v>809.08584257735515</v>
      </c>
      <c r="P88" s="59">
        <v>77</v>
      </c>
      <c r="Q88" s="28">
        <f t="shared" si="26"/>
        <v>0</v>
      </c>
      <c r="R88" s="20">
        <f>Q88/Dashboard!$I$25</f>
        <v>0</v>
      </c>
      <c r="S88" s="20">
        <f t="shared" si="27"/>
        <v>0</v>
      </c>
      <c r="T88" s="20">
        <f>IF($D$2="JA",Dashboard!$K$27-$S$11+S88,Dashboard!$K$27)</f>
        <v>2.6800000000000001E-2</v>
      </c>
      <c r="U88" s="27">
        <f t="shared" si="28"/>
        <v>0</v>
      </c>
      <c r="V88" s="26">
        <f>IF(Q88&lt;=1,0,Dashboard!$I$27/Dashboard!$I$30)</f>
        <v>0</v>
      </c>
      <c r="W88" s="28">
        <f>Q88*Dashboard!$K$27/12</f>
        <v>0</v>
      </c>
      <c r="Y88" s="59">
        <v>77</v>
      </c>
      <c r="Z88" s="67">
        <f>Dashboard!$I$28</f>
        <v>0</v>
      </c>
      <c r="AA88" s="64">
        <f>IF(Z88&lt;=1,0,Dashboard!$I$30-Y88)</f>
        <v>0</v>
      </c>
      <c r="AB88" s="64">
        <f t="shared" si="29"/>
        <v>0</v>
      </c>
      <c r="AC88" s="1">
        <f>Dashboard!$K$28</f>
        <v>2.6800000000000001E-2</v>
      </c>
      <c r="AD88" s="28">
        <f t="shared" si="30"/>
        <v>0</v>
      </c>
      <c r="AF88" s="2">
        <f t="shared" si="31"/>
        <v>168968.37017102397</v>
      </c>
      <c r="AG88" s="62">
        <f>(B88+Q88+Z88)/Dashboard!$I$25</f>
        <v>0.67587348068409592</v>
      </c>
      <c r="AH88" s="20">
        <f t="shared" si="32"/>
        <v>1.5E-3</v>
      </c>
      <c r="AI88" s="20">
        <f>IF($D$2="JA",Dashboard!$K$26-$AH$11+AH88,Dashboard!$K$26)</f>
        <v>2.5300000000000003E-2</v>
      </c>
      <c r="AJ88" s="27">
        <f>Tabel2[[#This Row],[Schuldrest]]*AI88/12</f>
        <v>356.24164711057557</v>
      </c>
      <c r="AK88" s="20">
        <f>IF($D$2="JA",Dashboard!$K$27-$AH$11+AH88,Dashboard!$K$27)</f>
        <v>2.5300000000000003E-2</v>
      </c>
      <c r="AL88" s="27">
        <f t="shared" si="18"/>
        <v>0</v>
      </c>
      <c r="AM88" s="20">
        <f>IF($D$2="JA",Dashboard!$K$28-$AH$11+AH88,Dashboard!$K$28)</f>
        <v>2.5300000000000003E-2</v>
      </c>
      <c r="AN88" s="27">
        <f t="shared" si="19"/>
        <v>0</v>
      </c>
      <c r="AO88" s="63">
        <f>Tabel2[[#This Row],[Aflossing]]+V88</f>
        <v>437.16008237884677</v>
      </c>
      <c r="AP88" s="63">
        <f t="shared" si="33"/>
        <v>356.24164711057557</v>
      </c>
      <c r="AQ88" s="2">
        <f t="shared" si="20"/>
        <v>378.74549178161743</v>
      </c>
      <c r="AU88" s="20"/>
      <c r="AV88" s="20"/>
    </row>
    <row r="89" spans="1:48">
      <c r="A89" s="71">
        <v>78</v>
      </c>
      <c r="B89" s="77">
        <f t="shared" si="21"/>
        <v>168531.21008864511</v>
      </c>
      <c r="C89" s="73">
        <f>B89/Dashboard!$I$25</f>
        <v>0.67412484035458042</v>
      </c>
      <c r="D89" s="74">
        <f t="shared" si="22"/>
        <v>1.5E-3</v>
      </c>
      <c r="E89" s="73">
        <f>IF($D$2="JA",Dashboard!$K$26-$D$11+D89,Dashboard!$K$26)</f>
        <v>2.5300000000000003E-2</v>
      </c>
      <c r="F89" s="72">
        <f t="shared" si="23"/>
        <v>355.31996793689353</v>
      </c>
      <c r="G89" s="72">
        <f t="shared" si="34"/>
        <v>438.0817615525288</v>
      </c>
      <c r="H89" s="72">
        <f>IFERROR(-PMT(E89^1/12,Dashboard!$I$30-A89,B89),0)</f>
        <v>793.40172948942234</v>
      </c>
      <c r="I89" s="75">
        <f t="shared" si="24"/>
        <v>793.40172948942234</v>
      </c>
      <c r="J89" s="76">
        <f t="shared" si="35"/>
        <v>169157.19328276432</v>
      </c>
      <c r="K89" s="76">
        <f>J89*Dashboard!$K$26/12</f>
        <v>377.78439833150696</v>
      </c>
      <c r="L89" s="76">
        <f t="shared" si="25"/>
        <v>431.30144424584819</v>
      </c>
      <c r="M89" s="76">
        <f>IF(H89=0,0,IFERROR(-PMT(Dashboard!$K$26^1/12,Dashboard!$I$30,Dashboard!$I$26),0))</f>
        <v>809.08584257735515</v>
      </c>
      <c r="P89" s="59">
        <v>78</v>
      </c>
      <c r="Q89" s="28">
        <f t="shared" si="26"/>
        <v>0</v>
      </c>
      <c r="R89" s="20">
        <f>Q89/Dashboard!$I$25</f>
        <v>0</v>
      </c>
      <c r="S89" s="20">
        <f t="shared" si="27"/>
        <v>0</v>
      </c>
      <c r="T89" s="20">
        <f>IF($D$2="JA",Dashboard!$K$27-$S$11+S89,Dashboard!$K$27)</f>
        <v>2.6800000000000001E-2</v>
      </c>
      <c r="U89" s="27">
        <f t="shared" si="28"/>
        <v>0</v>
      </c>
      <c r="V89" s="26">
        <f>IF(Q89&lt;=1,0,Dashboard!$I$27/Dashboard!$I$30)</f>
        <v>0</v>
      </c>
      <c r="W89" s="28">
        <f>Q89*Dashboard!$K$27/12</f>
        <v>0</v>
      </c>
      <c r="Y89" s="59">
        <v>78</v>
      </c>
      <c r="Z89" s="67">
        <f>Dashboard!$I$28</f>
        <v>0</v>
      </c>
      <c r="AA89" s="64">
        <f>IF(Z89&lt;=1,0,Dashboard!$I$30-Y89)</f>
        <v>0</v>
      </c>
      <c r="AB89" s="64">
        <f t="shared" si="29"/>
        <v>0</v>
      </c>
      <c r="AC89" s="1">
        <f>Dashboard!$K$28</f>
        <v>2.6800000000000001E-2</v>
      </c>
      <c r="AD89" s="28">
        <f t="shared" si="30"/>
        <v>0</v>
      </c>
      <c r="AF89" s="2">
        <f t="shared" si="31"/>
        <v>168531.21008864511</v>
      </c>
      <c r="AG89" s="62">
        <f>(B89+Q89+Z89)/Dashboard!$I$25</f>
        <v>0.67412484035458042</v>
      </c>
      <c r="AH89" s="20">
        <f t="shared" si="32"/>
        <v>1.5E-3</v>
      </c>
      <c r="AI89" s="20">
        <f>IF($D$2="JA",Dashboard!$K$26-$AH$11+AH89,Dashboard!$K$26)</f>
        <v>2.5300000000000003E-2</v>
      </c>
      <c r="AJ89" s="27">
        <f>Tabel2[[#This Row],[Schuldrest]]*AI89/12</f>
        <v>355.31996793689353</v>
      </c>
      <c r="AK89" s="20">
        <f>IF($D$2="JA",Dashboard!$K$27-$AH$11+AH89,Dashboard!$K$27)</f>
        <v>2.5300000000000003E-2</v>
      </c>
      <c r="AL89" s="27">
        <f t="shared" si="18"/>
        <v>0</v>
      </c>
      <c r="AM89" s="20">
        <f>IF($D$2="JA",Dashboard!$K$28-$AH$11+AH89,Dashboard!$K$28)</f>
        <v>2.5300000000000003E-2</v>
      </c>
      <c r="AN89" s="27">
        <f t="shared" si="19"/>
        <v>0</v>
      </c>
      <c r="AO89" s="63">
        <f>Tabel2[[#This Row],[Aflossing]]+V89</f>
        <v>438.0817615525288</v>
      </c>
      <c r="AP89" s="63">
        <f t="shared" si="33"/>
        <v>355.31996793689353</v>
      </c>
      <c r="AQ89" s="2">
        <f t="shared" si="20"/>
        <v>377.78439833150696</v>
      </c>
      <c r="AU89" s="20"/>
      <c r="AV89" s="20"/>
    </row>
    <row r="90" spans="1:48">
      <c r="A90" s="71">
        <v>79</v>
      </c>
      <c r="B90" s="77">
        <f t="shared" si="21"/>
        <v>168093.12832709259</v>
      </c>
      <c r="C90" s="73">
        <f>B90/Dashboard!$I$25</f>
        <v>0.67237251330837033</v>
      </c>
      <c r="D90" s="74">
        <f t="shared" si="22"/>
        <v>1.5E-3</v>
      </c>
      <c r="E90" s="73">
        <f>IF($D$2="JA",Dashboard!$K$26-$D$11+D90,Dashboard!$K$26)</f>
        <v>2.5300000000000003E-2</v>
      </c>
      <c r="F90" s="72">
        <f t="shared" si="23"/>
        <v>354.39634555628692</v>
      </c>
      <c r="G90" s="72">
        <f t="shared" si="34"/>
        <v>439.00538393313531</v>
      </c>
      <c r="H90" s="72">
        <f>IFERROR(-PMT(E90^1/12,Dashboard!$I$30-A90,B90),0)</f>
        <v>793.40172948942222</v>
      </c>
      <c r="I90" s="75">
        <f t="shared" si="24"/>
        <v>793.40172948942222</v>
      </c>
      <c r="J90" s="76">
        <f t="shared" si="35"/>
        <v>168725.89183851847</v>
      </c>
      <c r="K90" s="76">
        <f>J90*Dashboard!$K$26/12</f>
        <v>376.82115843935793</v>
      </c>
      <c r="L90" s="76">
        <f t="shared" si="25"/>
        <v>432.26468413799722</v>
      </c>
      <c r="M90" s="76">
        <f>IF(H90=0,0,IFERROR(-PMT(Dashboard!$K$26^1/12,Dashboard!$I$30,Dashboard!$I$26),0))</f>
        <v>809.08584257735515</v>
      </c>
      <c r="P90" s="59">
        <v>79</v>
      </c>
      <c r="Q90" s="28">
        <f t="shared" si="26"/>
        <v>0</v>
      </c>
      <c r="R90" s="20">
        <f>Q90/Dashboard!$I$25</f>
        <v>0</v>
      </c>
      <c r="S90" s="20">
        <f t="shared" si="27"/>
        <v>0</v>
      </c>
      <c r="T90" s="20">
        <f>IF($D$2="JA",Dashboard!$K$27-$S$11+S90,Dashboard!$K$27)</f>
        <v>2.6800000000000001E-2</v>
      </c>
      <c r="U90" s="27">
        <f t="shared" si="28"/>
        <v>0</v>
      </c>
      <c r="V90" s="26">
        <f>IF(Q90&lt;=1,0,Dashboard!$I$27/Dashboard!$I$30)</f>
        <v>0</v>
      </c>
      <c r="W90" s="28">
        <f>Q90*Dashboard!$K$27/12</f>
        <v>0</v>
      </c>
      <c r="Y90" s="59">
        <v>79</v>
      </c>
      <c r="Z90" s="67">
        <f>Dashboard!$I$28</f>
        <v>0</v>
      </c>
      <c r="AA90" s="64">
        <f>IF(Z90&lt;=1,0,Dashboard!$I$30-Y90)</f>
        <v>0</v>
      </c>
      <c r="AB90" s="64">
        <f t="shared" si="29"/>
        <v>0</v>
      </c>
      <c r="AC90" s="1">
        <f>Dashboard!$K$28</f>
        <v>2.6800000000000001E-2</v>
      </c>
      <c r="AD90" s="28">
        <f t="shared" si="30"/>
        <v>0</v>
      </c>
      <c r="AF90" s="2">
        <f t="shared" si="31"/>
        <v>168093.12832709259</v>
      </c>
      <c r="AG90" s="62">
        <f>(B90+Q90+Z90)/Dashboard!$I$25</f>
        <v>0.67237251330837033</v>
      </c>
      <c r="AH90" s="20">
        <f t="shared" si="32"/>
        <v>1.5E-3</v>
      </c>
      <c r="AI90" s="20">
        <f>IF($D$2="JA",Dashboard!$K$26-$AH$11+AH90,Dashboard!$K$26)</f>
        <v>2.5300000000000003E-2</v>
      </c>
      <c r="AJ90" s="27">
        <f>Tabel2[[#This Row],[Schuldrest]]*AI90/12</f>
        <v>354.39634555628692</v>
      </c>
      <c r="AK90" s="20">
        <f>IF($D$2="JA",Dashboard!$K$27-$AH$11+AH90,Dashboard!$K$27)</f>
        <v>2.5300000000000003E-2</v>
      </c>
      <c r="AL90" s="27">
        <f t="shared" si="18"/>
        <v>0</v>
      </c>
      <c r="AM90" s="20">
        <f>IF($D$2="JA",Dashboard!$K$28-$AH$11+AH90,Dashboard!$K$28)</f>
        <v>2.5300000000000003E-2</v>
      </c>
      <c r="AN90" s="27">
        <f t="shared" si="19"/>
        <v>0</v>
      </c>
      <c r="AO90" s="63">
        <f>Tabel2[[#This Row],[Aflossing]]+V90</f>
        <v>439.00538393313531</v>
      </c>
      <c r="AP90" s="63">
        <f t="shared" si="33"/>
        <v>354.39634555628692</v>
      </c>
      <c r="AQ90" s="2">
        <f t="shared" si="20"/>
        <v>376.82115843935793</v>
      </c>
      <c r="AU90" s="20"/>
      <c r="AV90" s="20"/>
    </row>
    <row r="91" spans="1:48">
      <c r="A91" s="71">
        <v>80</v>
      </c>
      <c r="B91" s="77">
        <f t="shared" si="21"/>
        <v>167654.12294315945</v>
      </c>
      <c r="C91" s="73">
        <f>B91/Dashboard!$I$25</f>
        <v>0.67061649177263782</v>
      </c>
      <c r="D91" s="74">
        <f t="shared" si="22"/>
        <v>1.5E-3</v>
      </c>
      <c r="E91" s="73">
        <f>IF($D$2="JA",Dashboard!$K$26-$D$11+D91,Dashboard!$K$26)</f>
        <v>2.5300000000000003E-2</v>
      </c>
      <c r="F91" s="72">
        <f t="shared" si="23"/>
        <v>353.47077587182793</v>
      </c>
      <c r="G91" s="72">
        <f t="shared" si="34"/>
        <v>439.93095361759441</v>
      </c>
      <c r="H91" s="72">
        <f>IFERROR(-PMT(E91^1/12,Dashboard!$I$30-A91,B91),0)</f>
        <v>793.40172948942234</v>
      </c>
      <c r="I91" s="75">
        <f t="shared" si="24"/>
        <v>793.40172948942234</v>
      </c>
      <c r="J91" s="76">
        <f t="shared" si="35"/>
        <v>168293.62715438046</v>
      </c>
      <c r="K91" s="76">
        <f>J91*Dashboard!$K$26/12</f>
        <v>375.85576731144971</v>
      </c>
      <c r="L91" s="76">
        <f t="shared" si="25"/>
        <v>433.23007526590544</v>
      </c>
      <c r="M91" s="76">
        <f>IF(H91=0,0,IFERROR(-PMT(Dashboard!$K$26^1/12,Dashboard!$I$30,Dashboard!$I$26),0))</f>
        <v>809.08584257735515</v>
      </c>
      <c r="P91" s="59">
        <v>80</v>
      </c>
      <c r="Q91" s="28">
        <f t="shared" si="26"/>
        <v>0</v>
      </c>
      <c r="R91" s="20">
        <f>Q91/Dashboard!$I$25</f>
        <v>0</v>
      </c>
      <c r="S91" s="20">
        <f t="shared" si="27"/>
        <v>0</v>
      </c>
      <c r="T91" s="20">
        <f>IF($D$2="JA",Dashboard!$K$27-$S$11+S91,Dashboard!$K$27)</f>
        <v>2.6800000000000001E-2</v>
      </c>
      <c r="U91" s="27">
        <f t="shared" si="28"/>
        <v>0</v>
      </c>
      <c r="V91" s="26">
        <f>IF(Q91&lt;=1,0,Dashboard!$I$27/Dashboard!$I$30)</f>
        <v>0</v>
      </c>
      <c r="W91" s="28">
        <f>Q91*Dashboard!$K$27/12</f>
        <v>0</v>
      </c>
      <c r="Y91" s="59">
        <v>80</v>
      </c>
      <c r="Z91" s="67">
        <f>Dashboard!$I$28</f>
        <v>0</v>
      </c>
      <c r="AA91" s="64">
        <f>IF(Z91&lt;=1,0,Dashboard!$I$30-Y91)</f>
        <v>0</v>
      </c>
      <c r="AB91" s="64">
        <f t="shared" si="29"/>
        <v>0</v>
      </c>
      <c r="AC91" s="1">
        <f>Dashboard!$K$28</f>
        <v>2.6800000000000001E-2</v>
      </c>
      <c r="AD91" s="28">
        <f t="shared" si="30"/>
        <v>0</v>
      </c>
      <c r="AF91" s="2">
        <f t="shared" si="31"/>
        <v>167654.12294315945</v>
      </c>
      <c r="AG91" s="62">
        <f>(B91+Q91+Z91)/Dashboard!$I$25</f>
        <v>0.67061649177263782</v>
      </c>
      <c r="AH91" s="20">
        <f t="shared" si="32"/>
        <v>1.5E-3</v>
      </c>
      <c r="AI91" s="20">
        <f>IF($D$2="JA",Dashboard!$K$26-$AH$11+AH91,Dashboard!$K$26)</f>
        <v>2.5300000000000003E-2</v>
      </c>
      <c r="AJ91" s="27">
        <f>Tabel2[[#This Row],[Schuldrest]]*AI91/12</f>
        <v>353.47077587182793</v>
      </c>
      <c r="AK91" s="20">
        <f>IF($D$2="JA",Dashboard!$K$27-$AH$11+AH91,Dashboard!$K$27)</f>
        <v>2.5300000000000003E-2</v>
      </c>
      <c r="AL91" s="27">
        <f t="shared" si="18"/>
        <v>0</v>
      </c>
      <c r="AM91" s="20">
        <f>IF($D$2="JA",Dashboard!$K$28-$AH$11+AH91,Dashboard!$K$28)</f>
        <v>2.5300000000000003E-2</v>
      </c>
      <c r="AN91" s="27">
        <f t="shared" si="19"/>
        <v>0</v>
      </c>
      <c r="AO91" s="63">
        <f>Tabel2[[#This Row],[Aflossing]]+V91</f>
        <v>439.93095361759441</v>
      </c>
      <c r="AP91" s="63">
        <f t="shared" si="33"/>
        <v>353.47077587182793</v>
      </c>
      <c r="AQ91" s="2">
        <f t="shared" si="20"/>
        <v>375.85576731144971</v>
      </c>
      <c r="AU91" s="20"/>
      <c r="AV91" s="20"/>
    </row>
    <row r="92" spans="1:48">
      <c r="A92" s="71">
        <v>81</v>
      </c>
      <c r="B92" s="77">
        <f t="shared" si="21"/>
        <v>167214.19198954187</v>
      </c>
      <c r="C92" s="73">
        <f>B92/Dashboard!$I$25</f>
        <v>0.66885676795816751</v>
      </c>
      <c r="D92" s="74">
        <f t="shared" si="22"/>
        <v>1.5E-3</v>
      </c>
      <c r="E92" s="73">
        <f>IF($D$2="JA",Dashboard!$K$26-$D$11+D92,Dashboard!$K$26)</f>
        <v>2.5300000000000003E-2</v>
      </c>
      <c r="F92" s="72">
        <f t="shared" si="23"/>
        <v>352.54325477795078</v>
      </c>
      <c r="G92" s="72">
        <f t="shared" si="34"/>
        <v>440.85847471147167</v>
      </c>
      <c r="H92" s="72">
        <f>IFERROR(-PMT(E92^1/12,Dashboard!$I$30-A92,B92),0)</f>
        <v>793.40172948942245</v>
      </c>
      <c r="I92" s="75">
        <f t="shared" si="24"/>
        <v>793.40172948942245</v>
      </c>
      <c r="J92" s="76">
        <f t="shared" si="35"/>
        <v>167860.39707911457</v>
      </c>
      <c r="K92" s="76">
        <f>J92*Dashboard!$K$26/12</f>
        <v>374.88822014335591</v>
      </c>
      <c r="L92" s="76">
        <f t="shared" si="25"/>
        <v>434.19762243399924</v>
      </c>
      <c r="M92" s="76">
        <f>IF(H92=0,0,IFERROR(-PMT(Dashboard!$K$26^1/12,Dashboard!$I$30,Dashboard!$I$26),0))</f>
        <v>809.08584257735515</v>
      </c>
      <c r="P92" s="59">
        <v>81</v>
      </c>
      <c r="Q92" s="28">
        <f t="shared" si="26"/>
        <v>0</v>
      </c>
      <c r="R92" s="20">
        <f>Q92/Dashboard!$I$25</f>
        <v>0</v>
      </c>
      <c r="S92" s="20">
        <f t="shared" si="27"/>
        <v>0</v>
      </c>
      <c r="T92" s="20">
        <f>IF($D$2="JA",Dashboard!$K$27-$S$11+S92,Dashboard!$K$27)</f>
        <v>2.6800000000000001E-2</v>
      </c>
      <c r="U92" s="27">
        <f t="shared" si="28"/>
        <v>0</v>
      </c>
      <c r="V92" s="26">
        <f>IF(Q92&lt;=1,0,Dashboard!$I$27/Dashboard!$I$30)</f>
        <v>0</v>
      </c>
      <c r="W92" s="28">
        <f>Q92*Dashboard!$K$27/12</f>
        <v>0</v>
      </c>
      <c r="Y92" s="59">
        <v>81</v>
      </c>
      <c r="Z92" s="67">
        <f>Dashboard!$I$28</f>
        <v>0</v>
      </c>
      <c r="AA92" s="64">
        <f>IF(Z92&lt;=1,0,Dashboard!$I$30-Y92)</f>
        <v>0</v>
      </c>
      <c r="AB92" s="64">
        <f t="shared" si="29"/>
        <v>0</v>
      </c>
      <c r="AC92" s="1">
        <f>Dashboard!$K$28</f>
        <v>2.6800000000000001E-2</v>
      </c>
      <c r="AD92" s="28">
        <f t="shared" si="30"/>
        <v>0</v>
      </c>
      <c r="AF92" s="2">
        <f t="shared" si="31"/>
        <v>167214.19198954187</v>
      </c>
      <c r="AG92" s="62">
        <f>(B92+Q92+Z92)/Dashboard!$I$25</f>
        <v>0.66885676795816751</v>
      </c>
      <c r="AH92" s="20">
        <f t="shared" si="32"/>
        <v>1.5E-3</v>
      </c>
      <c r="AI92" s="20">
        <f>IF($D$2="JA",Dashboard!$K$26-$AH$11+AH92,Dashboard!$K$26)</f>
        <v>2.5300000000000003E-2</v>
      </c>
      <c r="AJ92" s="27">
        <f>Tabel2[[#This Row],[Schuldrest]]*AI92/12</f>
        <v>352.54325477795078</v>
      </c>
      <c r="AK92" s="20">
        <f>IF($D$2="JA",Dashboard!$K$27-$AH$11+AH92,Dashboard!$K$27)</f>
        <v>2.5300000000000003E-2</v>
      </c>
      <c r="AL92" s="27">
        <f t="shared" si="18"/>
        <v>0</v>
      </c>
      <c r="AM92" s="20">
        <f>IF($D$2="JA",Dashboard!$K$28-$AH$11+AH92,Dashboard!$K$28)</f>
        <v>2.5300000000000003E-2</v>
      </c>
      <c r="AN92" s="27">
        <f t="shared" si="19"/>
        <v>0</v>
      </c>
      <c r="AO92" s="63">
        <f>Tabel2[[#This Row],[Aflossing]]+V92</f>
        <v>440.85847471147167</v>
      </c>
      <c r="AP92" s="63">
        <f t="shared" si="33"/>
        <v>352.54325477795078</v>
      </c>
      <c r="AQ92" s="2">
        <f t="shared" si="20"/>
        <v>374.88822014335591</v>
      </c>
      <c r="AU92" s="20"/>
      <c r="AV92" s="20"/>
    </row>
    <row r="93" spans="1:48">
      <c r="A93" s="71">
        <v>82</v>
      </c>
      <c r="B93" s="77">
        <f t="shared" si="21"/>
        <v>166773.33351483039</v>
      </c>
      <c r="C93" s="73">
        <f>B93/Dashboard!$I$25</f>
        <v>0.66709333405932159</v>
      </c>
      <c r="D93" s="74">
        <f t="shared" si="22"/>
        <v>1.5E-3</v>
      </c>
      <c r="E93" s="73">
        <f>IF($D$2="JA",Dashboard!$K$26-$D$11+D93,Dashboard!$K$26)</f>
        <v>2.5300000000000003E-2</v>
      </c>
      <c r="F93" s="72">
        <f t="shared" si="23"/>
        <v>351.61377816043409</v>
      </c>
      <c r="G93" s="72">
        <f t="shared" si="34"/>
        <v>441.78795132898824</v>
      </c>
      <c r="H93" s="72">
        <f>IFERROR(-PMT(E93^1/12,Dashboard!$I$30-A93,B93),0)</f>
        <v>793.40172948942234</v>
      </c>
      <c r="I93" s="75">
        <f t="shared" si="24"/>
        <v>793.40172948942234</v>
      </c>
      <c r="J93" s="76">
        <f t="shared" si="35"/>
        <v>167426.19945668057</v>
      </c>
      <c r="K93" s="76">
        <f>J93*Dashboard!$K$26/12</f>
        <v>373.91851211991997</v>
      </c>
      <c r="L93" s="76">
        <f t="shared" si="25"/>
        <v>435.16733045743518</v>
      </c>
      <c r="M93" s="76">
        <f>IF(H93=0,0,IFERROR(-PMT(Dashboard!$K$26^1/12,Dashboard!$I$30,Dashboard!$I$26),0))</f>
        <v>809.08584257735515</v>
      </c>
      <c r="P93" s="59">
        <v>82</v>
      </c>
      <c r="Q93" s="28">
        <f t="shared" si="26"/>
        <v>0</v>
      </c>
      <c r="R93" s="20">
        <f>Q93/Dashboard!$I$25</f>
        <v>0</v>
      </c>
      <c r="S93" s="20">
        <f t="shared" si="27"/>
        <v>0</v>
      </c>
      <c r="T93" s="20">
        <f>IF($D$2="JA",Dashboard!$K$27-$S$11+S93,Dashboard!$K$27)</f>
        <v>2.6800000000000001E-2</v>
      </c>
      <c r="U93" s="27">
        <f t="shared" si="28"/>
        <v>0</v>
      </c>
      <c r="V93" s="26">
        <f>IF(Q93&lt;=1,0,Dashboard!$I$27/Dashboard!$I$30)</f>
        <v>0</v>
      </c>
      <c r="W93" s="28">
        <f>Q93*Dashboard!$K$27/12</f>
        <v>0</v>
      </c>
      <c r="Y93" s="59">
        <v>82</v>
      </c>
      <c r="Z93" s="67">
        <f>Dashboard!$I$28</f>
        <v>0</v>
      </c>
      <c r="AA93" s="64">
        <f>IF(Z93&lt;=1,0,Dashboard!$I$30-Y93)</f>
        <v>0</v>
      </c>
      <c r="AB93" s="64">
        <f t="shared" si="29"/>
        <v>0</v>
      </c>
      <c r="AC93" s="1">
        <f>Dashboard!$K$28</f>
        <v>2.6800000000000001E-2</v>
      </c>
      <c r="AD93" s="28">
        <f t="shared" si="30"/>
        <v>0</v>
      </c>
      <c r="AF93" s="2">
        <f t="shared" si="31"/>
        <v>166773.33351483039</v>
      </c>
      <c r="AG93" s="62">
        <f>(B93+Q93+Z93)/Dashboard!$I$25</f>
        <v>0.66709333405932159</v>
      </c>
      <c r="AH93" s="20">
        <f t="shared" si="32"/>
        <v>1.5E-3</v>
      </c>
      <c r="AI93" s="20">
        <f>IF($D$2="JA",Dashboard!$K$26-$AH$11+AH93,Dashboard!$K$26)</f>
        <v>2.5300000000000003E-2</v>
      </c>
      <c r="AJ93" s="27">
        <f>Tabel2[[#This Row],[Schuldrest]]*AI93/12</f>
        <v>351.61377816043409</v>
      </c>
      <c r="AK93" s="20">
        <f>IF($D$2="JA",Dashboard!$K$27-$AH$11+AH93,Dashboard!$K$27)</f>
        <v>2.5300000000000003E-2</v>
      </c>
      <c r="AL93" s="27">
        <f t="shared" si="18"/>
        <v>0</v>
      </c>
      <c r="AM93" s="20">
        <f>IF($D$2="JA",Dashboard!$K$28-$AH$11+AH93,Dashboard!$K$28)</f>
        <v>2.5300000000000003E-2</v>
      </c>
      <c r="AN93" s="27">
        <f t="shared" si="19"/>
        <v>0</v>
      </c>
      <c r="AO93" s="63">
        <f>Tabel2[[#This Row],[Aflossing]]+V93</f>
        <v>441.78795132898824</v>
      </c>
      <c r="AP93" s="63">
        <f t="shared" si="33"/>
        <v>351.61377816043409</v>
      </c>
      <c r="AQ93" s="2">
        <f t="shared" si="20"/>
        <v>373.91851211991997</v>
      </c>
      <c r="AU93" s="20"/>
      <c r="AV93" s="20"/>
    </row>
    <row r="94" spans="1:48">
      <c r="A94" s="71">
        <v>83</v>
      </c>
      <c r="B94" s="77">
        <f t="shared" si="21"/>
        <v>166331.54556350139</v>
      </c>
      <c r="C94" s="73">
        <f>B94/Dashboard!$I$25</f>
        <v>0.66532618225400553</v>
      </c>
      <c r="D94" s="74">
        <f t="shared" si="22"/>
        <v>1.5E-3</v>
      </c>
      <c r="E94" s="73">
        <f>IF($D$2="JA",Dashboard!$K$26-$D$11+D94,Dashboard!$K$26)</f>
        <v>2.5300000000000003E-2</v>
      </c>
      <c r="F94" s="72">
        <f t="shared" si="23"/>
        <v>350.68234189638218</v>
      </c>
      <c r="G94" s="72">
        <f t="shared" si="34"/>
        <v>442.71938759304004</v>
      </c>
      <c r="H94" s="72">
        <f>IFERROR(-PMT(E94^1/12,Dashboard!$I$30-A94,B94),0)</f>
        <v>793.40172948942222</v>
      </c>
      <c r="I94" s="75">
        <f t="shared" si="24"/>
        <v>793.40172948942222</v>
      </c>
      <c r="J94" s="76">
        <f t="shared" si="35"/>
        <v>166991.03212622314</v>
      </c>
      <c r="K94" s="76">
        <f>J94*Dashboard!$K$26/12</f>
        <v>372.94663841523169</v>
      </c>
      <c r="L94" s="76">
        <f t="shared" si="25"/>
        <v>436.13920416212346</v>
      </c>
      <c r="M94" s="76">
        <f>IF(H94=0,0,IFERROR(-PMT(Dashboard!$K$26^1/12,Dashboard!$I$30,Dashboard!$I$26),0))</f>
        <v>809.08584257735515</v>
      </c>
      <c r="P94" s="59">
        <v>83</v>
      </c>
      <c r="Q94" s="28">
        <f t="shared" si="26"/>
        <v>0</v>
      </c>
      <c r="R94" s="20">
        <f>Q94/Dashboard!$I$25</f>
        <v>0</v>
      </c>
      <c r="S94" s="20">
        <f t="shared" si="27"/>
        <v>0</v>
      </c>
      <c r="T94" s="20">
        <f>IF($D$2="JA",Dashboard!$K$27-$S$11+S94,Dashboard!$K$27)</f>
        <v>2.6800000000000001E-2</v>
      </c>
      <c r="U94" s="27">
        <f t="shared" si="28"/>
        <v>0</v>
      </c>
      <c r="V94" s="26">
        <f>IF(Q94&lt;=1,0,Dashboard!$I$27/Dashboard!$I$30)</f>
        <v>0</v>
      </c>
      <c r="W94" s="28">
        <f>Q94*Dashboard!$K$27/12</f>
        <v>0</v>
      </c>
      <c r="Y94" s="59">
        <v>83</v>
      </c>
      <c r="Z94" s="67">
        <f>Dashboard!$I$28</f>
        <v>0</v>
      </c>
      <c r="AA94" s="64">
        <f>IF(Z94&lt;=1,0,Dashboard!$I$30-Y94)</f>
        <v>0</v>
      </c>
      <c r="AB94" s="64">
        <f t="shared" si="29"/>
        <v>0</v>
      </c>
      <c r="AC94" s="1">
        <f>Dashboard!$K$28</f>
        <v>2.6800000000000001E-2</v>
      </c>
      <c r="AD94" s="28">
        <f t="shared" si="30"/>
        <v>0</v>
      </c>
      <c r="AF94" s="2">
        <f t="shared" si="31"/>
        <v>166331.54556350139</v>
      </c>
      <c r="AG94" s="62">
        <f>(B94+Q94+Z94)/Dashboard!$I$25</f>
        <v>0.66532618225400553</v>
      </c>
      <c r="AH94" s="20">
        <f t="shared" si="32"/>
        <v>1.5E-3</v>
      </c>
      <c r="AI94" s="20">
        <f>IF($D$2="JA",Dashboard!$K$26-$AH$11+AH94,Dashboard!$K$26)</f>
        <v>2.5300000000000003E-2</v>
      </c>
      <c r="AJ94" s="27">
        <f>Tabel2[[#This Row],[Schuldrest]]*AI94/12</f>
        <v>350.68234189638218</v>
      </c>
      <c r="AK94" s="20">
        <f>IF($D$2="JA",Dashboard!$K$27-$AH$11+AH94,Dashboard!$K$27)</f>
        <v>2.5300000000000003E-2</v>
      </c>
      <c r="AL94" s="27">
        <f t="shared" si="18"/>
        <v>0</v>
      </c>
      <c r="AM94" s="20">
        <f>IF($D$2="JA",Dashboard!$K$28-$AH$11+AH94,Dashboard!$K$28)</f>
        <v>2.5300000000000003E-2</v>
      </c>
      <c r="AN94" s="27">
        <f t="shared" si="19"/>
        <v>0</v>
      </c>
      <c r="AO94" s="63">
        <f>Tabel2[[#This Row],[Aflossing]]+V94</f>
        <v>442.71938759304004</v>
      </c>
      <c r="AP94" s="63">
        <f t="shared" si="33"/>
        <v>350.68234189638218</v>
      </c>
      <c r="AQ94" s="2">
        <f t="shared" si="20"/>
        <v>372.94663841523169</v>
      </c>
      <c r="AU94" s="20"/>
      <c r="AV94" s="20"/>
    </row>
    <row r="95" spans="1:48">
      <c r="A95" s="71">
        <v>84</v>
      </c>
      <c r="B95" s="77">
        <f t="shared" si="21"/>
        <v>165888.82617590835</v>
      </c>
      <c r="C95" s="73">
        <f>B95/Dashboard!$I$25</f>
        <v>0.66355530470363344</v>
      </c>
      <c r="D95" s="74">
        <f t="shared" si="22"/>
        <v>1.5E-3</v>
      </c>
      <c r="E95" s="73">
        <f>IF($D$2="JA",Dashboard!$K$26-$D$11+D95,Dashboard!$K$26)</f>
        <v>2.5300000000000003E-2</v>
      </c>
      <c r="F95" s="72">
        <f t="shared" si="23"/>
        <v>349.74894185420681</v>
      </c>
      <c r="G95" s="72">
        <f t="shared" si="34"/>
        <v>443.65278763521565</v>
      </c>
      <c r="H95" s="72">
        <f>IFERROR(-PMT(E95^1/12,Dashboard!$I$30-A95,B95),0)</f>
        <v>793.40172948942245</v>
      </c>
      <c r="I95" s="75">
        <f t="shared" si="24"/>
        <v>793.40172948942245</v>
      </c>
      <c r="J95" s="76">
        <f t="shared" si="35"/>
        <v>166554.89292206103</v>
      </c>
      <c r="K95" s="76">
        <f>J95*Dashboard!$K$26/12</f>
        <v>371.97259419260303</v>
      </c>
      <c r="L95" s="76">
        <f t="shared" si="25"/>
        <v>437.11324838475213</v>
      </c>
      <c r="M95" s="76">
        <f>IF(H95=0,0,IFERROR(-PMT(Dashboard!$K$26^1/12,Dashboard!$I$30,Dashboard!$I$26),0))</f>
        <v>809.08584257735515</v>
      </c>
      <c r="P95" s="59">
        <v>84</v>
      </c>
      <c r="Q95" s="28">
        <f t="shared" si="26"/>
        <v>0</v>
      </c>
      <c r="R95" s="20">
        <f>Q95/Dashboard!$I$25</f>
        <v>0</v>
      </c>
      <c r="S95" s="20">
        <f t="shared" si="27"/>
        <v>0</v>
      </c>
      <c r="T95" s="20">
        <f>IF($D$2="JA",Dashboard!$K$27-$S$11+S95,Dashboard!$K$27)</f>
        <v>2.6800000000000001E-2</v>
      </c>
      <c r="U95" s="27">
        <f t="shared" si="28"/>
        <v>0</v>
      </c>
      <c r="V95" s="26">
        <f>IF(Q95&lt;=1,0,Dashboard!$I$27/Dashboard!$I$30)</f>
        <v>0</v>
      </c>
      <c r="W95" s="28">
        <f>Q95*Dashboard!$K$27/12</f>
        <v>0</v>
      </c>
      <c r="Y95" s="59">
        <v>84</v>
      </c>
      <c r="Z95" s="67">
        <f>Dashboard!$I$28</f>
        <v>0</v>
      </c>
      <c r="AA95" s="64">
        <f>IF(Z95&lt;=1,0,Dashboard!$I$30-Y95)</f>
        <v>0</v>
      </c>
      <c r="AB95" s="64">
        <f t="shared" si="29"/>
        <v>0</v>
      </c>
      <c r="AC95" s="1">
        <f>Dashboard!$K$28</f>
        <v>2.6800000000000001E-2</v>
      </c>
      <c r="AD95" s="28">
        <f t="shared" si="30"/>
        <v>0</v>
      </c>
      <c r="AF95" s="2">
        <f t="shared" si="31"/>
        <v>165888.82617590835</v>
      </c>
      <c r="AG95" s="62">
        <f>(B95+Q95+Z95)/Dashboard!$I$25</f>
        <v>0.66355530470363344</v>
      </c>
      <c r="AH95" s="20">
        <f t="shared" si="32"/>
        <v>1.5E-3</v>
      </c>
      <c r="AI95" s="20">
        <f>IF($D$2="JA",Dashboard!$K$26-$AH$11+AH95,Dashboard!$K$26)</f>
        <v>2.5300000000000003E-2</v>
      </c>
      <c r="AJ95" s="27">
        <f>Tabel2[[#This Row],[Schuldrest]]*AI95/12</f>
        <v>349.74894185420681</v>
      </c>
      <c r="AK95" s="20">
        <f>IF($D$2="JA",Dashboard!$K$27-$AH$11+AH95,Dashboard!$K$27)</f>
        <v>2.5300000000000003E-2</v>
      </c>
      <c r="AL95" s="27">
        <f t="shared" si="18"/>
        <v>0</v>
      </c>
      <c r="AM95" s="20">
        <f>IF($D$2="JA",Dashboard!$K$28-$AH$11+AH95,Dashboard!$K$28)</f>
        <v>2.5300000000000003E-2</v>
      </c>
      <c r="AN95" s="27">
        <f t="shared" si="19"/>
        <v>0</v>
      </c>
      <c r="AO95" s="63">
        <f>Tabel2[[#This Row],[Aflossing]]+V95</f>
        <v>443.65278763521565</v>
      </c>
      <c r="AP95" s="63">
        <f t="shared" si="33"/>
        <v>349.74894185420681</v>
      </c>
      <c r="AQ95" s="2">
        <f t="shared" si="20"/>
        <v>371.97259419260303</v>
      </c>
      <c r="AU95" s="20"/>
      <c r="AV95" s="20"/>
    </row>
    <row r="96" spans="1:48">
      <c r="A96" s="71">
        <v>85</v>
      </c>
      <c r="B96" s="77">
        <f t="shared" si="21"/>
        <v>165445.17338827314</v>
      </c>
      <c r="C96" s="73">
        <f>B96/Dashboard!$I$25</f>
        <v>0.66178069355309255</v>
      </c>
      <c r="D96" s="74">
        <f t="shared" si="22"/>
        <v>1.5E-3</v>
      </c>
      <c r="E96" s="73">
        <f>IF($D$2="JA",Dashboard!$K$26-$D$11+D96,Dashboard!$K$26)</f>
        <v>2.5300000000000003E-2</v>
      </c>
      <c r="F96" s="72">
        <f t="shared" si="23"/>
        <v>348.8135738936092</v>
      </c>
      <c r="G96" s="72">
        <f t="shared" si="34"/>
        <v>444.58815559581313</v>
      </c>
      <c r="H96" s="72">
        <f>IFERROR(-PMT(E96^1/12,Dashboard!$I$30-A96,B96),0)</f>
        <v>793.40172948942234</v>
      </c>
      <c r="I96" s="75">
        <f t="shared" si="24"/>
        <v>793.40172948942234</v>
      </c>
      <c r="J96" s="76">
        <f t="shared" si="35"/>
        <v>166117.77967367627</v>
      </c>
      <c r="K96" s="76">
        <f>J96*Dashboard!$K$26/12</f>
        <v>370.99637460454369</v>
      </c>
      <c r="L96" s="76">
        <f t="shared" si="25"/>
        <v>438.08946797281146</v>
      </c>
      <c r="M96" s="76">
        <f>IF(H96=0,0,IFERROR(-PMT(Dashboard!$K$26^1/12,Dashboard!$I$30,Dashboard!$I$26),0))</f>
        <v>809.08584257735515</v>
      </c>
      <c r="P96" s="59">
        <v>85</v>
      </c>
      <c r="Q96" s="28">
        <f t="shared" si="26"/>
        <v>0</v>
      </c>
      <c r="R96" s="20">
        <f>Q96/Dashboard!$I$25</f>
        <v>0</v>
      </c>
      <c r="S96" s="20">
        <f t="shared" si="27"/>
        <v>0</v>
      </c>
      <c r="T96" s="20">
        <f>IF($D$2="JA",Dashboard!$K$27-$S$11+S96,Dashboard!$K$27)</f>
        <v>2.6800000000000001E-2</v>
      </c>
      <c r="U96" s="27">
        <f t="shared" si="28"/>
        <v>0</v>
      </c>
      <c r="V96" s="26">
        <f>IF(Q96&lt;=1,0,Dashboard!$I$27/Dashboard!$I$30)</f>
        <v>0</v>
      </c>
      <c r="W96" s="28">
        <f>Q96*Dashboard!$K$27/12</f>
        <v>0</v>
      </c>
      <c r="Y96" s="59">
        <v>85</v>
      </c>
      <c r="Z96" s="67">
        <f>Dashboard!$I$28</f>
        <v>0</v>
      </c>
      <c r="AA96" s="64">
        <f>IF(Z96&lt;=1,0,Dashboard!$I$30-Y96)</f>
        <v>0</v>
      </c>
      <c r="AB96" s="64">
        <f t="shared" si="29"/>
        <v>0</v>
      </c>
      <c r="AC96" s="1">
        <f>Dashboard!$K$28</f>
        <v>2.6800000000000001E-2</v>
      </c>
      <c r="AD96" s="28">
        <f t="shared" si="30"/>
        <v>0</v>
      </c>
      <c r="AF96" s="2">
        <f t="shared" si="31"/>
        <v>165445.17338827314</v>
      </c>
      <c r="AG96" s="62">
        <f>(B96+Q96+Z96)/Dashboard!$I$25</f>
        <v>0.66178069355309255</v>
      </c>
      <c r="AH96" s="20">
        <f t="shared" si="32"/>
        <v>1.5E-3</v>
      </c>
      <c r="AI96" s="20">
        <f>IF($D$2="JA",Dashboard!$K$26-$AH$11+AH96,Dashboard!$K$26)</f>
        <v>2.5300000000000003E-2</v>
      </c>
      <c r="AJ96" s="27">
        <f>Tabel2[[#This Row],[Schuldrest]]*AI96/12</f>
        <v>348.8135738936092</v>
      </c>
      <c r="AK96" s="20">
        <f>IF($D$2="JA",Dashboard!$K$27-$AH$11+AH96,Dashboard!$K$27)</f>
        <v>2.5300000000000003E-2</v>
      </c>
      <c r="AL96" s="27">
        <f t="shared" si="18"/>
        <v>0</v>
      </c>
      <c r="AM96" s="20">
        <f>IF($D$2="JA",Dashboard!$K$28-$AH$11+AH96,Dashboard!$K$28)</f>
        <v>2.5300000000000003E-2</v>
      </c>
      <c r="AN96" s="27">
        <f t="shared" si="19"/>
        <v>0</v>
      </c>
      <c r="AO96" s="63">
        <f>Tabel2[[#This Row],[Aflossing]]+V96</f>
        <v>444.58815559581313</v>
      </c>
      <c r="AP96" s="63">
        <f t="shared" si="33"/>
        <v>348.8135738936092</v>
      </c>
      <c r="AQ96" s="2">
        <f t="shared" si="20"/>
        <v>370.99637460454369</v>
      </c>
      <c r="AU96" s="20"/>
      <c r="AV96" s="20"/>
    </row>
    <row r="97" spans="1:48">
      <c r="A97" s="71">
        <v>86</v>
      </c>
      <c r="B97" s="77">
        <f t="shared" si="21"/>
        <v>165000.58523267732</v>
      </c>
      <c r="C97" s="73">
        <f>B97/Dashboard!$I$25</f>
        <v>0.66000234093070931</v>
      </c>
      <c r="D97" s="74">
        <f t="shared" si="22"/>
        <v>1.5E-3</v>
      </c>
      <c r="E97" s="73">
        <f>IF($D$2="JA",Dashboard!$K$26-$D$11+D97,Dashboard!$K$26)</f>
        <v>2.5300000000000003E-2</v>
      </c>
      <c r="F97" s="72">
        <f t="shared" si="23"/>
        <v>347.87623386556135</v>
      </c>
      <c r="G97" s="72">
        <f t="shared" si="34"/>
        <v>445.52549562386076</v>
      </c>
      <c r="H97" s="72">
        <f>IFERROR(-PMT(E97^1/12,Dashboard!$I$30-A97,B97),0)</f>
        <v>793.40172948942211</v>
      </c>
      <c r="I97" s="75">
        <f t="shared" si="24"/>
        <v>793.40172948942211</v>
      </c>
      <c r="J97" s="76">
        <f t="shared" si="35"/>
        <v>165679.69020570346</v>
      </c>
      <c r="K97" s="76">
        <f>J97*Dashboard!$K$26/12</f>
        <v>370.01797479273773</v>
      </c>
      <c r="L97" s="76">
        <f t="shared" si="25"/>
        <v>439.06786778461742</v>
      </c>
      <c r="M97" s="76">
        <f>IF(H97=0,0,IFERROR(-PMT(Dashboard!$K$26^1/12,Dashboard!$I$30,Dashboard!$I$26),0))</f>
        <v>809.08584257735515</v>
      </c>
      <c r="P97" s="59">
        <v>86</v>
      </c>
      <c r="Q97" s="28">
        <f t="shared" si="26"/>
        <v>0</v>
      </c>
      <c r="R97" s="20">
        <f>Q97/Dashboard!$I$25</f>
        <v>0</v>
      </c>
      <c r="S97" s="20">
        <f t="shared" si="27"/>
        <v>0</v>
      </c>
      <c r="T97" s="20">
        <f>IF($D$2="JA",Dashboard!$K$27-$S$11+S97,Dashboard!$K$27)</f>
        <v>2.6800000000000001E-2</v>
      </c>
      <c r="U97" s="27">
        <f t="shared" si="28"/>
        <v>0</v>
      </c>
      <c r="V97" s="26">
        <f>IF(Q97&lt;=1,0,Dashboard!$I$27/Dashboard!$I$30)</f>
        <v>0</v>
      </c>
      <c r="W97" s="28">
        <f>Q97*Dashboard!$K$27/12</f>
        <v>0</v>
      </c>
      <c r="Y97" s="59">
        <v>86</v>
      </c>
      <c r="Z97" s="67">
        <f>Dashboard!$I$28</f>
        <v>0</v>
      </c>
      <c r="AA97" s="64">
        <f>IF(Z97&lt;=1,0,Dashboard!$I$30-Y97)</f>
        <v>0</v>
      </c>
      <c r="AB97" s="64">
        <f t="shared" si="29"/>
        <v>0</v>
      </c>
      <c r="AC97" s="1">
        <f>Dashboard!$K$28</f>
        <v>2.6800000000000001E-2</v>
      </c>
      <c r="AD97" s="28">
        <f t="shared" si="30"/>
        <v>0</v>
      </c>
      <c r="AF97" s="2">
        <f t="shared" si="31"/>
        <v>165000.58523267732</v>
      </c>
      <c r="AG97" s="62">
        <f>(B97+Q97+Z97)/Dashboard!$I$25</f>
        <v>0.66000234093070931</v>
      </c>
      <c r="AH97" s="20">
        <f t="shared" si="32"/>
        <v>1.5E-3</v>
      </c>
      <c r="AI97" s="20">
        <f>IF($D$2="JA",Dashboard!$K$26-$AH$11+AH97,Dashboard!$K$26)</f>
        <v>2.5300000000000003E-2</v>
      </c>
      <c r="AJ97" s="27">
        <f>Tabel2[[#This Row],[Schuldrest]]*AI97/12</f>
        <v>347.87623386556135</v>
      </c>
      <c r="AK97" s="20">
        <f>IF($D$2="JA",Dashboard!$K$27-$AH$11+AH97,Dashboard!$K$27)</f>
        <v>2.5300000000000003E-2</v>
      </c>
      <c r="AL97" s="27">
        <f t="shared" si="18"/>
        <v>0</v>
      </c>
      <c r="AM97" s="20">
        <f>IF($D$2="JA",Dashboard!$K$28-$AH$11+AH97,Dashboard!$K$28)</f>
        <v>2.5300000000000003E-2</v>
      </c>
      <c r="AN97" s="27">
        <f t="shared" si="19"/>
        <v>0</v>
      </c>
      <c r="AO97" s="63">
        <f>Tabel2[[#This Row],[Aflossing]]+V97</f>
        <v>445.52549562386076</v>
      </c>
      <c r="AP97" s="63">
        <f t="shared" si="33"/>
        <v>347.87623386556135</v>
      </c>
      <c r="AQ97" s="2">
        <f t="shared" si="20"/>
        <v>370.01797479273773</v>
      </c>
      <c r="AU97" s="20"/>
      <c r="AV97" s="20"/>
    </row>
    <row r="98" spans="1:48">
      <c r="A98" s="71">
        <v>87</v>
      </c>
      <c r="B98" s="77">
        <f t="shared" si="21"/>
        <v>164555.05973705347</v>
      </c>
      <c r="C98" s="73">
        <f>B98/Dashboard!$I$25</f>
        <v>0.65822023894821391</v>
      </c>
      <c r="D98" s="74">
        <f t="shared" si="22"/>
        <v>1.5E-3</v>
      </c>
      <c r="E98" s="73">
        <f>IF($D$2="JA",Dashboard!$K$26-$D$11+D98,Dashboard!$K$26)</f>
        <v>2.5300000000000003E-2</v>
      </c>
      <c r="F98" s="72">
        <f t="shared" si="23"/>
        <v>346.93691761228774</v>
      </c>
      <c r="G98" s="72">
        <f t="shared" si="34"/>
        <v>446.46481187713459</v>
      </c>
      <c r="H98" s="72">
        <f>IFERROR(-PMT(E98^1/12,Dashboard!$I$30-A98,B98),0)</f>
        <v>793.40172948942234</v>
      </c>
      <c r="I98" s="75">
        <f t="shared" si="24"/>
        <v>793.40172948942234</v>
      </c>
      <c r="J98" s="76">
        <f t="shared" si="35"/>
        <v>165240.62233791885</v>
      </c>
      <c r="K98" s="76">
        <f>J98*Dashboard!$K$26/12</f>
        <v>369.03738988801882</v>
      </c>
      <c r="L98" s="76">
        <f t="shared" si="25"/>
        <v>440.04845268933633</v>
      </c>
      <c r="M98" s="76">
        <f>IF(H98=0,0,IFERROR(-PMT(Dashboard!$K$26^1/12,Dashboard!$I$30,Dashboard!$I$26),0))</f>
        <v>809.08584257735515</v>
      </c>
      <c r="P98" s="59">
        <v>87</v>
      </c>
      <c r="Q98" s="28">
        <f t="shared" si="26"/>
        <v>0</v>
      </c>
      <c r="R98" s="20">
        <f>Q98/Dashboard!$I$25</f>
        <v>0</v>
      </c>
      <c r="S98" s="20">
        <f t="shared" si="27"/>
        <v>0</v>
      </c>
      <c r="T98" s="20">
        <f>IF($D$2="JA",Dashboard!$K$27-$S$11+S98,Dashboard!$K$27)</f>
        <v>2.6800000000000001E-2</v>
      </c>
      <c r="U98" s="27">
        <f t="shared" si="28"/>
        <v>0</v>
      </c>
      <c r="V98" s="26">
        <f>IF(Q98&lt;=1,0,Dashboard!$I$27/Dashboard!$I$30)</f>
        <v>0</v>
      </c>
      <c r="W98" s="28">
        <f>Q98*Dashboard!$K$27/12</f>
        <v>0</v>
      </c>
      <c r="Y98" s="59">
        <v>87</v>
      </c>
      <c r="Z98" s="67">
        <f>Dashboard!$I$28</f>
        <v>0</v>
      </c>
      <c r="AA98" s="64">
        <f>IF(Z98&lt;=1,0,Dashboard!$I$30-Y98)</f>
        <v>0</v>
      </c>
      <c r="AB98" s="64">
        <f t="shared" si="29"/>
        <v>0</v>
      </c>
      <c r="AC98" s="1">
        <f>Dashboard!$K$28</f>
        <v>2.6800000000000001E-2</v>
      </c>
      <c r="AD98" s="28">
        <f t="shared" si="30"/>
        <v>0</v>
      </c>
      <c r="AF98" s="2">
        <f t="shared" si="31"/>
        <v>164555.05973705347</v>
      </c>
      <c r="AG98" s="62">
        <f>(B98+Q98+Z98)/Dashboard!$I$25</f>
        <v>0.65822023894821391</v>
      </c>
      <c r="AH98" s="20">
        <f t="shared" si="32"/>
        <v>1.5E-3</v>
      </c>
      <c r="AI98" s="20">
        <f>IF($D$2="JA",Dashboard!$K$26-$AH$11+AH98,Dashboard!$K$26)</f>
        <v>2.5300000000000003E-2</v>
      </c>
      <c r="AJ98" s="27">
        <f>Tabel2[[#This Row],[Schuldrest]]*AI98/12</f>
        <v>346.93691761228774</v>
      </c>
      <c r="AK98" s="20">
        <f>IF($D$2="JA",Dashboard!$K$27-$AH$11+AH98,Dashboard!$K$27)</f>
        <v>2.5300000000000003E-2</v>
      </c>
      <c r="AL98" s="27">
        <f t="shared" si="18"/>
        <v>0</v>
      </c>
      <c r="AM98" s="20">
        <f>IF($D$2="JA",Dashboard!$K$28-$AH$11+AH98,Dashboard!$K$28)</f>
        <v>2.5300000000000003E-2</v>
      </c>
      <c r="AN98" s="27">
        <f t="shared" si="19"/>
        <v>0</v>
      </c>
      <c r="AO98" s="63">
        <f>Tabel2[[#This Row],[Aflossing]]+V98</f>
        <v>446.46481187713459</v>
      </c>
      <c r="AP98" s="63">
        <f t="shared" si="33"/>
        <v>346.93691761228774</v>
      </c>
      <c r="AQ98" s="2">
        <f t="shared" si="20"/>
        <v>369.03738988801882</v>
      </c>
      <c r="AU98" s="20"/>
      <c r="AV98" s="20"/>
    </row>
    <row r="99" spans="1:48">
      <c r="A99" s="71">
        <v>88</v>
      </c>
      <c r="B99" s="77">
        <f t="shared" si="21"/>
        <v>164108.59492517632</v>
      </c>
      <c r="C99" s="73">
        <f>B99/Dashboard!$I$25</f>
        <v>0.65643437970070528</v>
      </c>
      <c r="D99" s="74">
        <f t="shared" si="22"/>
        <v>1.5E-3</v>
      </c>
      <c r="E99" s="73">
        <f>IF($D$2="JA",Dashboard!$K$26-$D$11+D99,Dashboard!$K$26)</f>
        <v>2.5300000000000003E-2</v>
      </c>
      <c r="F99" s="72">
        <f t="shared" si="23"/>
        <v>345.99562096724679</v>
      </c>
      <c r="G99" s="72">
        <f t="shared" si="34"/>
        <v>447.40610852217554</v>
      </c>
      <c r="H99" s="72">
        <f>IFERROR(-PMT(E99^1/12,Dashboard!$I$30-A99,B99),0)</f>
        <v>793.40172948942234</v>
      </c>
      <c r="I99" s="75">
        <f t="shared" si="24"/>
        <v>793.40172948942234</v>
      </c>
      <c r="J99" s="76">
        <f t="shared" si="35"/>
        <v>164800.5738852295</v>
      </c>
      <c r="K99" s="76">
        <f>J99*Dashboard!$K$26/12</f>
        <v>368.05461501034591</v>
      </c>
      <c r="L99" s="76">
        <f t="shared" si="25"/>
        <v>441.03122756700924</v>
      </c>
      <c r="M99" s="76">
        <f>IF(H99=0,0,IFERROR(-PMT(Dashboard!$K$26^1/12,Dashboard!$I$30,Dashboard!$I$26),0))</f>
        <v>809.08584257735515</v>
      </c>
      <c r="P99" s="59">
        <v>88</v>
      </c>
      <c r="Q99" s="28">
        <f t="shared" si="26"/>
        <v>0</v>
      </c>
      <c r="R99" s="20">
        <f>Q99/Dashboard!$I$25</f>
        <v>0</v>
      </c>
      <c r="S99" s="20">
        <f t="shared" si="27"/>
        <v>0</v>
      </c>
      <c r="T99" s="20">
        <f>IF($D$2="JA",Dashboard!$K$27-$S$11+S99,Dashboard!$K$27)</f>
        <v>2.6800000000000001E-2</v>
      </c>
      <c r="U99" s="27">
        <f t="shared" si="28"/>
        <v>0</v>
      </c>
      <c r="V99" s="26">
        <f>IF(Q99&lt;=1,0,Dashboard!$I$27/Dashboard!$I$30)</f>
        <v>0</v>
      </c>
      <c r="W99" s="28">
        <f>Q99*Dashboard!$K$27/12</f>
        <v>0</v>
      </c>
      <c r="Y99" s="59">
        <v>88</v>
      </c>
      <c r="Z99" s="67">
        <f>Dashboard!$I$28</f>
        <v>0</v>
      </c>
      <c r="AA99" s="64">
        <f>IF(Z99&lt;=1,0,Dashboard!$I$30-Y99)</f>
        <v>0</v>
      </c>
      <c r="AB99" s="64">
        <f t="shared" si="29"/>
        <v>0</v>
      </c>
      <c r="AC99" s="1">
        <f>Dashboard!$K$28</f>
        <v>2.6800000000000001E-2</v>
      </c>
      <c r="AD99" s="28">
        <f t="shared" si="30"/>
        <v>0</v>
      </c>
      <c r="AF99" s="2">
        <f t="shared" si="31"/>
        <v>164108.59492517632</v>
      </c>
      <c r="AG99" s="62">
        <f>(B99+Q99+Z99)/Dashboard!$I$25</f>
        <v>0.65643437970070528</v>
      </c>
      <c r="AH99" s="20">
        <f t="shared" si="32"/>
        <v>1.5E-3</v>
      </c>
      <c r="AI99" s="20">
        <f>IF($D$2="JA",Dashboard!$K$26-$AH$11+AH99,Dashboard!$K$26)</f>
        <v>2.5300000000000003E-2</v>
      </c>
      <c r="AJ99" s="27">
        <f>Tabel2[[#This Row],[Schuldrest]]*AI99/12</f>
        <v>345.99562096724679</v>
      </c>
      <c r="AK99" s="20">
        <f>IF($D$2="JA",Dashboard!$K$27-$AH$11+AH99,Dashboard!$K$27)</f>
        <v>2.5300000000000003E-2</v>
      </c>
      <c r="AL99" s="27">
        <f t="shared" si="18"/>
        <v>0</v>
      </c>
      <c r="AM99" s="20">
        <f>IF($D$2="JA",Dashboard!$K$28-$AH$11+AH99,Dashboard!$K$28)</f>
        <v>2.5300000000000003E-2</v>
      </c>
      <c r="AN99" s="27">
        <f t="shared" si="19"/>
        <v>0</v>
      </c>
      <c r="AO99" s="63">
        <f>Tabel2[[#This Row],[Aflossing]]+V99</f>
        <v>447.40610852217554</v>
      </c>
      <c r="AP99" s="63">
        <f t="shared" si="33"/>
        <v>345.99562096724679</v>
      </c>
      <c r="AQ99" s="2">
        <f t="shared" si="20"/>
        <v>368.05461501034591</v>
      </c>
      <c r="AU99" s="20"/>
      <c r="AV99" s="20"/>
    </row>
    <row r="100" spans="1:48">
      <c r="A100" s="71">
        <v>89</v>
      </c>
      <c r="B100" s="77">
        <f t="shared" si="21"/>
        <v>163661.18881665415</v>
      </c>
      <c r="C100" s="73">
        <f>B100/Dashboard!$I$25</f>
        <v>0.65464475526661658</v>
      </c>
      <c r="D100" s="74">
        <f t="shared" si="22"/>
        <v>1.5E-3</v>
      </c>
      <c r="E100" s="73">
        <f>IF($D$2="JA",Dashboard!$K$26-$D$11+D100,Dashboard!$K$26)</f>
        <v>2.5300000000000003E-2</v>
      </c>
      <c r="F100" s="72">
        <f t="shared" si="23"/>
        <v>345.05233975511254</v>
      </c>
      <c r="G100" s="72">
        <f t="shared" si="34"/>
        <v>448.34938973430991</v>
      </c>
      <c r="H100" s="72">
        <f>IFERROR(-PMT(E100^1/12,Dashboard!$I$30-A100,B100),0)</f>
        <v>793.40172948942245</v>
      </c>
      <c r="I100" s="75">
        <f t="shared" si="24"/>
        <v>793.40172948942245</v>
      </c>
      <c r="J100" s="76">
        <f t="shared" si="35"/>
        <v>164359.5426576625</v>
      </c>
      <c r="K100" s="76">
        <f>J100*Dashboard!$K$26/12</f>
        <v>367.0696452687796</v>
      </c>
      <c r="L100" s="76">
        <f t="shared" si="25"/>
        <v>442.01619730857556</v>
      </c>
      <c r="M100" s="76">
        <f>IF(H100=0,0,IFERROR(-PMT(Dashboard!$K$26^1/12,Dashboard!$I$30,Dashboard!$I$26),0))</f>
        <v>809.08584257735515</v>
      </c>
      <c r="P100" s="59">
        <v>89</v>
      </c>
      <c r="Q100" s="28">
        <f t="shared" si="26"/>
        <v>0</v>
      </c>
      <c r="R100" s="20">
        <f>Q100/Dashboard!$I$25</f>
        <v>0</v>
      </c>
      <c r="S100" s="20">
        <f t="shared" si="27"/>
        <v>0</v>
      </c>
      <c r="T100" s="20">
        <f>IF($D$2="JA",Dashboard!$K$27-$S$11+S100,Dashboard!$K$27)</f>
        <v>2.6800000000000001E-2</v>
      </c>
      <c r="U100" s="27">
        <f t="shared" si="28"/>
        <v>0</v>
      </c>
      <c r="V100" s="26">
        <f>IF(Q100&lt;=1,0,Dashboard!$I$27/Dashboard!$I$30)</f>
        <v>0</v>
      </c>
      <c r="W100" s="28">
        <f>Q100*Dashboard!$K$27/12</f>
        <v>0</v>
      </c>
      <c r="Y100" s="59">
        <v>89</v>
      </c>
      <c r="Z100" s="67">
        <f>Dashboard!$I$28</f>
        <v>0</v>
      </c>
      <c r="AA100" s="64">
        <f>IF(Z100&lt;=1,0,Dashboard!$I$30-Y100)</f>
        <v>0</v>
      </c>
      <c r="AB100" s="64">
        <f t="shared" si="29"/>
        <v>0</v>
      </c>
      <c r="AC100" s="1">
        <f>Dashboard!$K$28</f>
        <v>2.6800000000000001E-2</v>
      </c>
      <c r="AD100" s="28">
        <f t="shared" si="30"/>
        <v>0</v>
      </c>
      <c r="AF100" s="2">
        <f t="shared" si="31"/>
        <v>163661.18881665415</v>
      </c>
      <c r="AG100" s="62">
        <f>(B100+Q100+Z100)/Dashboard!$I$25</f>
        <v>0.65464475526661658</v>
      </c>
      <c r="AH100" s="20">
        <f t="shared" si="32"/>
        <v>1.5E-3</v>
      </c>
      <c r="AI100" s="20">
        <f>IF($D$2="JA",Dashboard!$K$26-$AH$11+AH100,Dashboard!$K$26)</f>
        <v>2.5300000000000003E-2</v>
      </c>
      <c r="AJ100" s="27">
        <f>Tabel2[[#This Row],[Schuldrest]]*AI100/12</f>
        <v>345.05233975511254</v>
      </c>
      <c r="AK100" s="20">
        <f>IF($D$2="JA",Dashboard!$K$27-$AH$11+AH100,Dashboard!$K$27)</f>
        <v>2.5300000000000003E-2</v>
      </c>
      <c r="AL100" s="27">
        <f t="shared" si="18"/>
        <v>0</v>
      </c>
      <c r="AM100" s="20">
        <f>IF($D$2="JA",Dashboard!$K$28-$AH$11+AH100,Dashboard!$K$28)</f>
        <v>2.5300000000000003E-2</v>
      </c>
      <c r="AN100" s="27">
        <f t="shared" si="19"/>
        <v>0</v>
      </c>
      <c r="AO100" s="63">
        <f>Tabel2[[#This Row],[Aflossing]]+V100</f>
        <v>448.34938973430991</v>
      </c>
      <c r="AP100" s="63">
        <f t="shared" si="33"/>
        <v>345.05233975511254</v>
      </c>
      <c r="AQ100" s="2">
        <f t="shared" si="20"/>
        <v>367.0696452687796</v>
      </c>
      <c r="AU100" s="20"/>
      <c r="AV100" s="20"/>
    </row>
    <row r="101" spans="1:48">
      <c r="A101" s="71">
        <v>90</v>
      </c>
      <c r="B101" s="77">
        <f t="shared" si="21"/>
        <v>163212.83942691985</v>
      </c>
      <c r="C101" s="73">
        <f>B101/Dashboard!$I$25</f>
        <v>0.65285135770767944</v>
      </c>
      <c r="D101" s="74">
        <f t="shared" si="22"/>
        <v>1.5E-3</v>
      </c>
      <c r="E101" s="73">
        <f>IF($D$2="JA",Dashboard!$K$26-$D$11+D101,Dashboard!$K$26)</f>
        <v>2.5300000000000003E-2</v>
      </c>
      <c r="F101" s="72">
        <f t="shared" si="23"/>
        <v>344.10706979175603</v>
      </c>
      <c r="G101" s="72">
        <f t="shared" si="34"/>
        <v>449.2946596976663</v>
      </c>
      <c r="H101" s="72">
        <f>IFERROR(-PMT(E101^1/12,Dashboard!$I$30-A101,B101),0)</f>
        <v>793.40172948942234</v>
      </c>
      <c r="I101" s="75">
        <f t="shared" si="24"/>
        <v>793.40172948942234</v>
      </c>
      <c r="J101" s="76">
        <f t="shared" si="35"/>
        <v>163917.52646035393</v>
      </c>
      <c r="K101" s="76">
        <f>J101*Dashboard!$K$26/12</f>
        <v>366.08247576145709</v>
      </c>
      <c r="L101" s="76">
        <f t="shared" si="25"/>
        <v>443.00336681589806</v>
      </c>
      <c r="M101" s="76">
        <f>IF(H101=0,0,IFERROR(-PMT(Dashboard!$K$26^1/12,Dashboard!$I$30,Dashboard!$I$26),0))</f>
        <v>809.08584257735515</v>
      </c>
      <c r="P101" s="59">
        <v>90</v>
      </c>
      <c r="Q101" s="28">
        <f t="shared" si="26"/>
        <v>0</v>
      </c>
      <c r="R101" s="20">
        <f>Q101/Dashboard!$I$25</f>
        <v>0</v>
      </c>
      <c r="S101" s="20">
        <f t="shared" si="27"/>
        <v>0</v>
      </c>
      <c r="T101" s="20">
        <f>IF($D$2="JA",Dashboard!$K$27-$S$11+S101,Dashboard!$K$27)</f>
        <v>2.6800000000000001E-2</v>
      </c>
      <c r="U101" s="27">
        <f t="shared" si="28"/>
        <v>0</v>
      </c>
      <c r="V101" s="26">
        <f>IF(Q101&lt;=1,0,Dashboard!$I$27/Dashboard!$I$30)</f>
        <v>0</v>
      </c>
      <c r="W101" s="28">
        <f>Q101*Dashboard!$K$27/12</f>
        <v>0</v>
      </c>
      <c r="Y101" s="59">
        <v>90</v>
      </c>
      <c r="Z101" s="67">
        <f>Dashboard!$I$28</f>
        <v>0</v>
      </c>
      <c r="AA101" s="64">
        <f>IF(Z101&lt;=1,0,Dashboard!$I$30-Y101)</f>
        <v>0</v>
      </c>
      <c r="AB101" s="64">
        <f t="shared" si="29"/>
        <v>0</v>
      </c>
      <c r="AC101" s="1">
        <f>Dashboard!$K$28</f>
        <v>2.6800000000000001E-2</v>
      </c>
      <c r="AD101" s="28">
        <f t="shared" si="30"/>
        <v>0</v>
      </c>
      <c r="AF101" s="2">
        <f t="shared" si="31"/>
        <v>163212.83942691985</v>
      </c>
      <c r="AG101" s="62">
        <f>(B101+Q101+Z101)/Dashboard!$I$25</f>
        <v>0.65285135770767944</v>
      </c>
      <c r="AH101" s="20">
        <f t="shared" si="32"/>
        <v>1.5E-3</v>
      </c>
      <c r="AI101" s="20">
        <f>IF($D$2="JA",Dashboard!$K$26-$AH$11+AH101,Dashboard!$K$26)</f>
        <v>2.5300000000000003E-2</v>
      </c>
      <c r="AJ101" s="27">
        <f>Tabel2[[#This Row],[Schuldrest]]*AI101/12</f>
        <v>344.10706979175603</v>
      </c>
      <c r="AK101" s="20">
        <f>IF($D$2="JA",Dashboard!$K$27-$AH$11+AH101,Dashboard!$K$27)</f>
        <v>2.5300000000000003E-2</v>
      </c>
      <c r="AL101" s="27">
        <f t="shared" si="18"/>
        <v>0</v>
      </c>
      <c r="AM101" s="20">
        <f>IF($D$2="JA",Dashboard!$K$28-$AH$11+AH101,Dashboard!$K$28)</f>
        <v>2.5300000000000003E-2</v>
      </c>
      <c r="AN101" s="27">
        <f t="shared" si="19"/>
        <v>0</v>
      </c>
      <c r="AO101" s="63">
        <f>Tabel2[[#This Row],[Aflossing]]+V101</f>
        <v>449.2946596976663</v>
      </c>
      <c r="AP101" s="63">
        <f t="shared" si="33"/>
        <v>344.10706979175603</v>
      </c>
      <c r="AQ101" s="2">
        <f t="shared" si="20"/>
        <v>366.08247576145709</v>
      </c>
      <c r="AU101" s="20"/>
      <c r="AV101" s="20"/>
    </row>
    <row r="102" spans="1:48">
      <c r="A102" s="71">
        <v>91</v>
      </c>
      <c r="B102" s="77">
        <f t="shared" si="21"/>
        <v>162763.54476722219</v>
      </c>
      <c r="C102" s="73">
        <f>B102/Dashboard!$I$25</f>
        <v>0.65105417906888874</v>
      </c>
      <c r="D102" s="74">
        <f t="shared" si="22"/>
        <v>1.5E-3</v>
      </c>
      <c r="E102" s="73">
        <f>IF($D$2="JA",Dashboard!$K$26-$D$11+D102,Dashboard!$K$26)</f>
        <v>2.5300000000000003E-2</v>
      </c>
      <c r="F102" s="72">
        <f t="shared" si="23"/>
        <v>343.15980688422684</v>
      </c>
      <c r="G102" s="72">
        <f t="shared" si="34"/>
        <v>450.2419226051955</v>
      </c>
      <c r="H102" s="72">
        <f>IFERROR(-PMT(E102^1/12,Dashboard!$I$30-A102,B102),0)</f>
        <v>793.40172948942234</v>
      </c>
      <c r="I102" s="75">
        <f t="shared" si="24"/>
        <v>793.40172948942234</v>
      </c>
      <c r="J102" s="76">
        <f t="shared" si="35"/>
        <v>163474.52309353804</v>
      </c>
      <c r="K102" s="76">
        <f>J102*Dashboard!$K$26/12</f>
        <v>365.09310157556826</v>
      </c>
      <c r="L102" s="76">
        <f t="shared" si="25"/>
        <v>443.9927410017869</v>
      </c>
      <c r="M102" s="76">
        <f>IF(H102=0,0,IFERROR(-PMT(Dashboard!$K$26^1/12,Dashboard!$I$30,Dashboard!$I$26),0))</f>
        <v>809.08584257735515</v>
      </c>
      <c r="P102" s="59">
        <v>91</v>
      </c>
      <c r="Q102" s="28">
        <f t="shared" si="26"/>
        <v>0</v>
      </c>
      <c r="R102" s="20">
        <f>Q102/Dashboard!$I$25</f>
        <v>0</v>
      </c>
      <c r="S102" s="20">
        <f t="shared" si="27"/>
        <v>0</v>
      </c>
      <c r="T102" s="20">
        <f>IF($D$2="JA",Dashboard!$K$27-$S$11+S102,Dashboard!$K$27)</f>
        <v>2.6800000000000001E-2</v>
      </c>
      <c r="U102" s="27">
        <f t="shared" si="28"/>
        <v>0</v>
      </c>
      <c r="V102" s="26">
        <f>IF(Q102&lt;=1,0,Dashboard!$I$27/Dashboard!$I$30)</f>
        <v>0</v>
      </c>
      <c r="W102" s="28">
        <f>Q102*Dashboard!$K$27/12</f>
        <v>0</v>
      </c>
      <c r="Y102" s="59">
        <v>91</v>
      </c>
      <c r="Z102" s="67">
        <f>Dashboard!$I$28</f>
        <v>0</v>
      </c>
      <c r="AA102" s="64">
        <f>IF(Z102&lt;=1,0,Dashboard!$I$30-Y102)</f>
        <v>0</v>
      </c>
      <c r="AB102" s="64">
        <f t="shared" si="29"/>
        <v>0</v>
      </c>
      <c r="AC102" s="1">
        <f>Dashboard!$K$28</f>
        <v>2.6800000000000001E-2</v>
      </c>
      <c r="AD102" s="28">
        <f t="shared" si="30"/>
        <v>0</v>
      </c>
      <c r="AF102" s="2">
        <f t="shared" si="31"/>
        <v>162763.54476722219</v>
      </c>
      <c r="AG102" s="62">
        <f>(B102+Q102+Z102)/Dashboard!$I$25</f>
        <v>0.65105417906888874</v>
      </c>
      <c r="AH102" s="20">
        <f t="shared" si="32"/>
        <v>1.5E-3</v>
      </c>
      <c r="AI102" s="20">
        <f>IF($D$2="JA",Dashboard!$K$26-$AH$11+AH102,Dashboard!$K$26)</f>
        <v>2.5300000000000003E-2</v>
      </c>
      <c r="AJ102" s="27">
        <f>Tabel2[[#This Row],[Schuldrest]]*AI102/12</f>
        <v>343.15980688422684</v>
      </c>
      <c r="AK102" s="20">
        <f>IF($D$2="JA",Dashboard!$K$27-$AH$11+AH102,Dashboard!$K$27)</f>
        <v>2.5300000000000003E-2</v>
      </c>
      <c r="AL102" s="27">
        <f t="shared" si="18"/>
        <v>0</v>
      </c>
      <c r="AM102" s="20">
        <f>IF($D$2="JA",Dashboard!$K$28-$AH$11+AH102,Dashboard!$K$28)</f>
        <v>2.5300000000000003E-2</v>
      </c>
      <c r="AN102" s="27">
        <f t="shared" si="19"/>
        <v>0</v>
      </c>
      <c r="AO102" s="63">
        <f>Tabel2[[#This Row],[Aflossing]]+V102</f>
        <v>450.2419226051955</v>
      </c>
      <c r="AP102" s="63">
        <f t="shared" si="33"/>
        <v>343.15980688422684</v>
      </c>
      <c r="AQ102" s="2">
        <f t="shared" si="20"/>
        <v>365.09310157556826</v>
      </c>
      <c r="AU102" s="20"/>
      <c r="AV102" s="20"/>
    </row>
    <row r="103" spans="1:48">
      <c r="A103" s="71">
        <v>92</v>
      </c>
      <c r="B103" s="77">
        <f t="shared" si="21"/>
        <v>162313.30284461699</v>
      </c>
      <c r="C103" s="73">
        <f>B103/Dashboard!$I$25</f>
        <v>0.64925321137846792</v>
      </c>
      <c r="D103" s="74">
        <f t="shared" si="22"/>
        <v>1.5E-3</v>
      </c>
      <c r="E103" s="73">
        <f>IF($D$2="JA",Dashboard!$K$26-$D$11+D103,Dashboard!$K$26)</f>
        <v>2.5300000000000003E-2</v>
      </c>
      <c r="F103" s="72">
        <f t="shared" si="23"/>
        <v>342.21054683073424</v>
      </c>
      <c r="G103" s="72">
        <f t="shared" si="34"/>
        <v>451.19118265868809</v>
      </c>
      <c r="H103" s="72">
        <f>IFERROR(-PMT(E103^1/12,Dashboard!$I$30-A103,B103),0)</f>
        <v>793.40172948942234</v>
      </c>
      <c r="I103" s="75">
        <f t="shared" si="24"/>
        <v>793.40172948942234</v>
      </c>
      <c r="J103" s="76">
        <f t="shared" si="35"/>
        <v>163030.53035253624</v>
      </c>
      <c r="K103" s="76">
        <f>J103*Dashboard!$K$26/12</f>
        <v>364.10151778733098</v>
      </c>
      <c r="L103" s="76">
        <f t="shared" si="25"/>
        <v>444.98432479002417</v>
      </c>
      <c r="M103" s="76">
        <f>IF(H103=0,0,IFERROR(-PMT(Dashboard!$K$26^1/12,Dashboard!$I$30,Dashboard!$I$26),0))</f>
        <v>809.08584257735515</v>
      </c>
      <c r="P103" s="59">
        <v>92</v>
      </c>
      <c r="Q103" s="28">
        <f t="shared" si="26"/>
        <v>0</v>
      </c>
      <c r="R103" s="20">
        <f>Q103/Dashboard!$I$25</f>
        <v>0</v>
      </c>
      <c r="S103" s="20">
        <f t="shared" si="27"/>
        <v>0</v>
      </c>
      <c r="T103" s="20">
        <f>IF($D$2="JA",Dashboard!$K$27-$S$11+S103,Dashboard!$K$27)</f>
        <v>2.6800000000000001E-2</v>
      </c>
      <c r="U103" s="27">
        <f t="shared" si="28"/>
        <v>0</v>
      </c>
      <c r="V103" s="26">
        <f>IF(Q103&lt;=1,0,Dashboard!$I$27/Dashboard!$I$30)</f>
        <v>0</v>
      </c>
      <c r="W103" s="28">
        <f>Q103*Dashboard!$K$27/12</f>
        <v>0</v>
      </c>
      <c r="Y103" s="59">
        <v>92</v>
      </c>
      <c r="Z103" s="67">
        <f>Dashboard!$I$28</f>
        <v>0</v>
      </c>
      <c r="AA103" s="64">
        <f>IF(Z103&lt;=1,0,Dashboard!$I$30-Y103)</f>
        <v>0</v>
      </c>
      <c r="AB103" s="64">
        <f t="shared" si="29"/>
        <v>0</v>
      </c>
      <c r="AC103" s="1">
        <f>Dashboard!$K$28</f>
        <v>2.6800000000000001E-2</v>
      </c>
      <c r="AD103" s="28">
        <f t="shared" si="30"/>
        <v>0</v>
      </c>
      <c r="AF103" s="2">
        <f t="shared" si="31"/>
        <v>162313.30284461699</v>
      </c>
      <c r="AG103" s="62">
        <f>(B103+Q103+Z103)/Dashboard!$I$25</f>
        <v>0.64925321137846792</v>
      </c>
      <c r="AH103" s="20">
        <f t="shared" si="32"/>
        <v>1.5E-3</v>
      </c>
      <c r="AI103" s="20">
        <f>IF($D$2="JA",Dashboard!$K$26-$AH$11+AH103,Dashboard!$K$26)</f>
        <v>2.5300000000000003E-2</v>
      </c>
      <c r="AJ103" s="27">
        <f>Tabel2[[#This Row],[Schuldrest]]*AI103/12</f>
        <v>342.21054683073424</v>
      </c>
      <c r="AK103" s="20">
        <f>IF($D$2="JA",Dashboard!$K$27-$AH$11+AH103,Dashboard!$K$27)</f>
        <v>2.5300000000000003E-2</v>
      </c>
      <c r="AL103" s="27">
        <f t="shared" si="18"/>
        <v>0</v>
      </c>
      <c r="AM103" s="20">
        <f>IF($D$2="JA",Dashboard!$K$28-$AH$11+AH103,Dashboard!$K$28)</f>
        <v>2.5300000000000003E-2</v>
      </c>
      <c r="AN103" s="27">
        <f t="shared" si="19"/>
        <v>0</v>
      </c>
      <c r="AO103" s="63">
        <f>Tabel2[[#This Row],[Aflossing]]+V103</f>
        <v>451.19118265868809</v>
      </c>
      <c r="AP103" s="63">
        <f t="shared" si="33"/>
        <v>342.21054683073424</v>
      </c>
      <c r="AQ103" s="2">
        <f t="shared" si="20"/>
        <v>364.10151778733098</v>
      </c>
      <c r="AU103" s="20"/>
      <c r="AV103" s="20"/>
    </row>
    <row r="104" spans="1:48">
      <c r="A104" s="71">
        <v>93</v>
      </c>
      <c r="B104" s="77">
        <f t="shared" si="21"/>
        <v>161862.1116619583</v>
      </c>
      <c r="C104" s="73">
        <f>B104/Dashboard!$I$25</f>
        <v>0.64744844664783319</v>
      </c>
      <c r="D104" s="74">
        <f t="shared" si="22"/>
        <v>1.5E-3</v>
      </c>
      <c r="E104" s="73">
        <f>IF($D$2="JA",Dashboard!$K$26-$D$11+D104,Dashboard!$K$26)</f>
        <v>2.5300000000000003E-2</v>
      </c>
      <c r="F104" s="72">
        <f t="shared" si="23"/>
        <v>341.25928542062883</v>
      </c>
      <c r="G104" s="72">
        <f t="shared" si="34"/>
        <v>452.14244406879351</v>
      </c>
      <c r="H104" s="72">
        <f>IFERROR(-PMT(E104^1/12,Dashboard!$I$30-A104,B104),0)</f>
        <v>793.40172948942234</v>
      </c>
      <c r="I104" s="75">
        <f t="shared" si="24"/>
        <v>793.40172948942234</v>
      </c>
      <c r="J104" s="76">
        <f t="shared" si="35"/>
        <v>162585.54602774623</v>
      </c>
      <c r="K104" s="76">
        <f>J104*Dashboard!$K$26/12</f>
        <v>363.10771946196655</v>
      </c>
      <c r="L104" s="76">
        <f t="shared" si="25"/>
        <v>445.9781231153886</v>
      </c>
      <c r="M104" s="76">
        <f>IF(H104=0,0,IFERROR(-PMT(Dashboard!$K$26^1/12,Dashboard!$I$30,Dashboard!$I$26),0))</f>
        <v>809.08584257735515</v>
      </c>
      <c r="P104" s="59">
        <v>93</v>
      </c>
      <c r="Q104" s="28">
        <f t="shared" si="26"/>
        <v>0</v>
      </c>
      <c r="R104" s="20">
        <f>Q104/Dashboard!$I$25</f>
        <v>0</v>
      </c>
      <c r="S104" s="20">
        <f t="shared" si="27"/>
        <v>0</v>
      </c>
      <c r="T104" s="20">
        <f>IF($D$2="JA",Dashboard!$K$27-$S$11+S104,Dashboard!$K$27)</f>
        <v>2.6800000000000001E-2</v>
      </c>
      <c r="U104" s="27">
        <f t="shared" si="28"/>
        <v>0</v>
      </c>
      <c r="V104" s="26">
        <f>IF(Q104&lt;=1,0,Dashboard!$I$27/Dashboard!$I$30)</f>
        <v>0</v>
      </c>
      <c r="W104" s="28">
        <f>Q104*Dashboard!$K$27/12</f>
        <v>0</v>
      </c>
      <c r="Y104" s="59">
        <v>93</v>
      </c>
      <c r="Z104" s="67">
        <f>Dashboard!$I$28</f>
        <v>0</v>
      </c>
      <c r="AA104" s="64">
        <f>IF(Z104&lt;=1,0,Dashboard!$I$30-Y104)</f>
        <v>0</v>
      </c>
      <c r="AB104" s="64">
        <f t="shared" si="29"/>
        <v>0</v>
      </c>
      <c r="AC104" s="1">
        <f>Dashboard!$K$28</f>
        <v>2.6800000000000001E-2</v>
      </c>
      <c r="AD104" s="28">
        <f t="shared" si="30"/>
        <v>0</v>
      </c>
      <c r="AF104" s="2">
        <f t="shared" si="31"/>
        <v>161862.1116619583</v>
      </c>
      <c r="AG104" s="62">
        <f>(B104+Q104+Z104)/Dashboard!$I$25</f>
        <v>0.64744844664783319</v>
      </c>
      <c r="AH104" s="20">
        <f t="shared" si="32"/>
        <v>1.5E-3</v>
      </c>
      <c r="AI104" s="20">
        <f>IF($D$2="JA",Dashboard!$K$26-$AH$11+AH104,Dashboard!$K$26)</f>
        <v>2.5300000000000003E-2</v>
      </c>
      <c r="AJ104" s="27">
        <f>Tabel2[[#This Row],[Schuldrest]]*AI104/12</f>
        <v>341.25928542062883</v>
      </c>
      <c r="AK104" s="20">
        <f>IF($D$2="JA",Dashboard!$K$27-$AH$11+AH104,Dashboard!$K$27)</f>
        <v>2.5300000000000003E-2</v>
      </c>
      <c r="AL104" s="27">
        <f t="shared" si="18"/>
        <v>0</v>
      </c>
      <c r="AM104" s="20">
        <f>IF($D$2="JA",Dashboard!$K$28-$AH$11+AH104,Dashboard!$K$28)</f>
        <v>2.5300000000000003E-2</v>
      </c>
      <c r="AN104" s="27">
        <f t="shared" si="19"/>
        <v>0</v>
      </c>
      <c r="AO104" s="63">
        <f>Tabel2[[#This Row],[Aflossing]]+V104</f>
        <v>452.14244406879351</v>
      </c>
      <c r="AP104" s="63">
        <f t="shared" si="33"/>
        <v>341.25928542062883</v>
      </c>
      <c r="AQ104" s="2">
        <f t="shared" si="20"/>
        <v>363.10771946196655</v>
      </c>
      <c r="AU104" s="20"/>
      <c r="AV104" s="20"/>
    </row>
    <row r="105" spans="1:48">
      <c r="A105" s="71">
        <v>94</v>
      </c>
      <c r="B105" s="77">
        <f t="shared" si="21"/>
        <v>161409.96921788951</v>
      </c>
      <c r="C105" s="73">
        <f>B105/Dashboard!$I$25</f>
        <v>0.64563987687155799</v>
      </c>
      <c r="D105" s="74">
        <f t="shared" si="22"/>
        <v>1.5E-3</v>
      </c>
      <c r="E105" s="73">
        <f>IF($D$2="JA",Dashboard!$K$26-$D$11+D105,Dashboard!$K$26)</f>
        <v>2.5300000000000003E-2</v>
      </c>
      <c r="F105" s="72">
        <f t="shared" si="23"/>
        <v>340.30601843438376</v>
      </c>
      <c r="G105" s="72">
        <f t="shared" si="34"/>
        <v>453.09571105503869</v>
      </c>
      <c r="H105" s="72">
        <f>IFERROR(-PMT(E105^1/12,Dashboard!$I$30-A105,B105),0)</f>
        <v>793.40172948942245</v>
      </c>
      <c r="I105" s="75">
        <f t="shared" si="24"/>
        <v>793.40172948942245</v>
      </c>
      <c r="J105" s="76">
        <f t="shared" si="35"/>
        <v>162139.56790463085</v>
      </c>
      <c r="K105" s="76">
        <f>J105*Dashboard!$K$26/12</f>
        <v>362.11170165367554</v>
      </c>
      <c r="L105" s="76">
        <f t="shared" si="25"/>
        <v>446.97414092367961</v>
      </c>
      <c r="M105" s="76">
        <f>IF(H105=0,0,IFERROR(-PMT(Dashboard!$K$26^1/12,Dashboard!$I$30,Dashboard!$I$26),0))</f>
        <v>809.08584257735515</v>
      </c>
      <c r="P105" s="59">
        <v>94</v>
      </c>
      <c r="Q105" s="28">
        <f t="shared" si="26"/>
        <v>0</v>
      </c>
      <c r="R105" s="20">
        <f>Q105/Dashboard!$I$25</f>
        <v>0</v>
      </c>
      <c r="S105" s="20">
        <f t="shared" si="27"/>
        <v>0</v>
      </c>
      <c r="T105" s="20">
        <f>IF($D$2="JA",Dashboard!$K$27-$S$11+S105,Dashboard!$K$27)</f>
        <v>2.6800000000000001E-2</v>
      </c>
      <c r="U105" s="27">
        <f t="shared" si="28"/>
        <v>0</v>
      </c>
      <c r="V105" s="26">
        <f>IF(Q105&lt;=1,0,Dashboard!$I$27/Dashboard!$I$30)</f>
        <v>0</v>
      </c>
      <c r="W105" s="28">
        <f>Q105*Dashboard!$K$27/12</f>
        <v>0</v>
      </c>
      <c r="Y105" s="59">
        <v>94</v>
      </c>
      <c r="Z105" s="67">
        <f>Dashboard!$I$28</f>
        <v>0</v>
      </c>
      <c r="AA105" s="64">
        <f>IF(Z105&lt;=1,0,Dashboard!$I$30-Y105)</f>
        <v>0</v>
      </c>
      <c r="AB105" s="64">
        <f t="shared" si="29"/>
        <v>0</v>
      </c>
      <c r="AC105" s="1">
        <f>Dashboard!$K$28</f>
        <v>2.6800000000000001E-2</v>
      </c>
      <c r="AD105" s="28">
        <f t="shared" si="30"/>
        <v>0</v>
      </c>
      <c r="AF105" s="2">
        <f t="shared" si="31"/>
        <v>161409.96921788951</v>
      </c>
      <c r="AG105" s="62">
        <f>(B105+Q105+Z105)/Dashboard!$I$25</f>
        <v>0.64563987687155799</v>
      </c>
      <c r="AH105" s="20">
        <f t="shared" si="32"/>
        <v>1.5E-3</v>
      </c>
      <c r="AI105" s="20">
        <f>IF($D$2="JA",Dashboard!$K$26-$AH$11+AH105,Dashboard!$K$26)</f>
        <v>2.5300000000000003E-2</v>
      </c>
      <c r="AJ105" s="27">
        <f>Tabel2[[#This Row],[Schuldrest]]*AI105/12</f>
        <v>340.30601843438376</v>
      </c>
      <c r="AK105" s="20">
        <f>IF($D$2="JA",Dashboard!$K$27-$AH$11+AH105,Dashboard!$K$27)</f>
        <v>2.5300000000000003E-2</v>
      </c>
      <c r="AL105" s="27">
        <f t="shared" si="18"/>
        <v>0</v>
      </c>
      <c r="AM105" s="20">
        <f>IF($D$2="JA",Dashboard!$K$28-$AH$11+AH105,Dashboard!$K$28)</f>
        <v>2.5300000000000003E-2</v>
      </c>
      <c r="AN105" s="27">
        <f t="shared" si="19"/>
        <v>0</v>
      </c>
      <c r="AO105" s="63">
        <f>Tabel2[[#This Row],[Aflossing]]+V105</f>
        <v>453.09571105503869</v>
      </c>
      <c r="AP105" s="63">
        <f t="shared" si="33"/>
        <v>340.30601843438376</v>
      </c>
      <c r="AQ105" s="2">
        <f t="shared" si="20"/>
        <v>362.11170165367554</v>
      </c>
      <c r="AU105" s="20"/>
      <c r="AV105" s="20"/>
    </row>
    <row r="106" spans="1:48">
      <c r="A106" s="71">
        <v>95</v>
      </c>
      <c r="B106" s="77">
        <f t="shared" si="21"/>
        <v>160956.87350683447</v>
      </c>
      <c r="C106" s="73">
        <f>B106/Dashboard!$I$25</f>
        <v>0.64382749402733785</v>
      </c>
      <c r="D106" s="74">
        <f t="shared" si="22"/>
        <v>1.5E-3</v>
      </c>
      <c r="E106" s="73">
        <f>IF($D$2="JA",Dashboard!$K$26-$D$11+D106,Dashboard!$K$26)</f>
        <v>2.5300000000000003E-2</v>
      </c>
      <c r="F106" s="72">
        <f t="shared" si="23"/>
        <v>339.35074164357604</v>
      </c>
      <c r="G106" s="72">
        <f t="shared" si="34"/>
        <v>454.05098784584629</v>
      </c>
      <c r="H106" s="72">
        <f>IFERROR(-PMT(E106^1/12,Dashboard!$I$30-A106,B106),0)</f>
        <v>793.40172948942234</v>
      </c>
      <c r="I106" s="75">
        <f t="shared" si="24"/>
        <v>793.40172948942234</v>
      </c>
      <c r="J106" s="76">
        <f t="shared" si="35"/>
        <v>161692.59376370718</v>
      </c>
      <c r="K106" s="76">
        <f>J106*Dashboard!$K$26/12</f>
        <v>361.11345940561273</v>
      </c>
      <c r="L106" s="76">
        <f t="shared" si="25"/>
        <v>447.97238317174242</v>
      </c>
      <c r="M106" s="76">
        <f>IF(H106=0,0,IFERROR(-PMT(Dashboard!$K$26^1/12,Dashboard!$I$30,Dashboard!$I$26),0))</f>
        <v>809.08584257735515</v>
      </c>
      <c r="P106" s="59">
        <v>95</v>
      </c>
      <c r="Q106" s="28">
        <f t="shared" si="26"/>
        <v>0</v>
      </c>
      <c r="R106" s="20">
        <f>Q106/Dashboard!$I$25</f>
        <v>0</v>
      </c>
      <c r="S106" s="20">
        <f t="shared" si="27"/>
        <v>0</v>
      </c>
      <c r="T106" s="20">
        <f>IF($D$2="JA",Dashboard!$K$27-$S$11+S106,Dashboard!$K$27)</f>
        <v>2.6800000000000001E-2</v>
      </c>
      <c r="U106" s="27">
        <f t="shared" si="28"/>
        <v>0</v>
      </c>
      <c r="V106" s="26">
        <f>IF(Q106&lt;=1,0,Dashboard!$I$27/Dashboard!$I$30)</f>
        <v>0</v>
      </c>
      <c r="W106" s="28">
        <f>Q106*Dashboard!$K$27/12</f>
        <v>0</v>
      </c>
      <c r="Y106" s="59">
        <v>95</v>
      </c>
      <c r="Z106" s="67">
        <f>Dashboard!$I$28</f>
        <v>0</v>
      </c>
      <c r="AA106" s="64">
        <f>IF(Z106&lt;=1,0,Dashboard!$I$30-Y106)</f>
        <v>0</v>
      </c>
      <c r="AB106" s="64">
        <f t="shared" si="29"/>
        <v>0</v>
      </c>
      <c r="AC106" s="1">
        <f>Dashboard!$K$28</f>
        <v>2.6800000000000001E-2</v>
      </c>
      <c r="AD106" s="28">
        <f t="shared" si="30"/>
        <v>0</v>
      </c>
      <c r="AF106" s="2">
        <f t="shared" si="31"/>
        <v>160956.87350683447</v>
      </c>
      <c r="AG106" s="62">
        <f>(B106+Q106+Z106)/Dashboard!$I$25</f>
        <v>0.64382749402733785</v>
      </c>
      <c r="AH106" s="20">
        <f t="shared" si="32"/>
        <v>1.5E-3</v>
      </c>
      <c r="AI106" s="20">
        <f>IF($D$2="JA",Dashboard!$K$26-$AH$11+AH106,Dashboard!$K$26)</f>
        <v>2.5300000000000003E-2</v>
      </c>
      <c r="AJ106" s="27">
        <f>Tabel2[[#This Row],[Schuldrest]]*AI106/12</f>
        <v>339.35074164357604</v>
      </c>
      <c r="AK106" s="20">
        <f>IF($D$2="JA",Dashboard!$K$27-$AH$11+AH106,Dashboard!$K$27)</f>
        <v>2.5300000000000003E-2</v>
      </c>
      <c r="AL106" s="27">
        <f t="shared" si="18"/>
        <v>0</v>
      </c>
      <c r="AM106" s="20">
        <f>IF($D$2="JA",Dashboard!$K$28-$AH$11+AH106,Dashboard!$K$28)</f>
        <v>2.5300000000000003E-2</v>
      </c>
      <c r="AN106" s="27">
        <f t="shared" si="19"/>
        <v>0</v>
      </c>
      <c r="AO106" s="63">
        <f>Tabel2[[#This Row],[Aflossing]]+V106</f>
        <v>454.05098784584629</v>
      </c>
      <c r="AP106" s="63">
        <f t="shared" si="33"/>
        <v>339.35074164357604</v>
      </c>
      <c r="AQ106" s="2">
        <f t="shared" si="20"/>
        <v>361.11345940561273</v>
      </c>
      <c r="AU106" s="20"/>
      <c r="AV106" s="20"/>
    </row>
    <row r="107" spans="1:48">
      <c r="A107" s="71">
        <v>96</v>
      </c>
      <c r="B107" s="77">
        <f t="shared" si="21"/>
        <v>160502.82251898863</v>
      </c>
      <c r="C107" s="73">
        <f>B107/Dashboard!$I$25</f>
        <v>0.64201129007595448</v>
      </c>
      <c r="D107" s="74">
        <f t="shared" si="22"/>
        <v>1.5E-3</v>
      </c>
      <c r="E107" s="73">
        <f>IF($D$2="JA",Dashboard!$K$26-$D$11+D107,Dashboard!$K$26)</f>
        <v>2.5300000000000003E-2</v>
      </c>
      <c r="F107" s="72">
        <f t="shared" si="23"/>
        <v>338.39345081086771</v>
      </c>
      <c r="G107" s="72">
        <f t="shared" si="34"/>
        <v>455.00827867855475</v>
      </c>
      <c r="H107" s="72">
        <f>IFERROR(-PMT(E107^1/12,Dashboard!$I$30-A107,B107),0)</f>
        <v>793.40172948942245</v>
      </c>
      <c r="I107" s="75">
        <f t="shared" si="24"/>
        <v>793.40172948942245</v>
      </c>
      <c r="J107" s="76">
        <f t="shared" si="35"/>
        <v>161244.62138053542</v>
      </c>
      <c r="K107" s="76">
        <f>J107*Dashboard!$K$26/12</f>
        <v>360.11298774986244</v>
      </c>
      <c r="L107" s="76">
        <f t="shared" si="25"/>
        <v>448.97285482749271</v>
      </c>
      <c r="M107" s="76">
        <f>IF(H107=0,0,IFERROR(-PMT(Dashboard!$K$26^1/12,Dashboard!$I$30,Dashboard!$I$26),0))</f>
        <v>809.08584257735515</v>
      </c>
      <c r="P107" s="59">
        <v>96</v>
      </c>
      <c r="Q107" s="28">
        <f t="shared" si="26"/>
        <v>0</v>
      </c>
      <c r="R107" s="20">
        <f>Q107/Dashboard!$I$25</f>
        <v>0</v>
      </c>
      <c r="S107" s="20">
        <f t="shared" si="27"/>
        <v>0</v>
      </c>
      <c r="T107" s="20">
        <f>IF($D$2="JA",Dashboard!$K$27-$S$11+S107,Dashboard!$K$27)</f>
        <v>2.6800000000000001E-2</v>
      </c>
      <c r="U107" s="27">
        <f t="shared" si="28"/>
        <v>0</v>
      </c>
      <c r="V107" s="26">
        <f>IF(Q107&lt;=1,0,Dashboard!$I$27/Dashboard!$I$30)</f>
        <v>0</v>
      </c>
      <c r="W107" s="28">
        <f>Q107*Dashboard!$K$27/12</f>
        <v>0</v>
      </c>
      <c r="Y107" s="59">
        <v>96</v>
      </c>
      <c r="Z107" s="67">
        <f>Dashboard!$I$28</f>
        <v>0</v>
      </c>
      <c r="AA107" s="64">
        <f>IF(Z107&lt;=1,0,Dashboard!$I$30-Y107)</f>
        <v>0</v>
      </c>
      <c r="AB107" s="64">
        <f t="shared" si="29"/>
        <v>0</v>
      </c>
      <c r="AC107" s="1">
        <f>Dashboard!$K$28</f>
        <v>2.6800000000000001E-2</v>
      </c>
      <c r="AD107" s="28">
        <f t="shared" si="30"/>
        <v>0</v>
      </c>
      <c r="AF107" s="2">
        <f t="shared" si="31"/>
        <v>160502.82251898863</v>
      </c>
      <c r="AG107" s="62">
        <f>(B107+Q107+Z107)/Dashboard!$I$25</f>
        <v>0.64201129007595448</v>
      </c>
      <c r="AH107" s="20">
        <f t="shared" si="32"/>
        <v>1.5E-3</v>
      </c>
      <c r="AI107" s="20">
        <f>IF($D$2="JA",Dashboard!$K$26-$AH$11+AH107,Dashboard!$K$26)</f>
        <v>2.5300000000000003E-2</v>
      </c>
      <c r="AJ107" s="27">
        <f>Tabel2[[#This Row],[Schuldrest]]*AI107/12</f>
        <v>338.39345081086771</v>
      </c>
      <c r="AK107" s="20">
        <f>IF($D$2="JA",Dashboard!$K$27-$AH$11+AH107,Dashboard!$K$27)</f>
        <v>2.5300000000000003E-2</v>
      </c>
      <c r="AL107" s="27">
        <f t="shared" si="18"/>
        <v>0</v>
      </c>
      <c r="AM107" s="20">
        <f>IF($D$2="JA",Dashboard!$K$28-$AH$11+AH107,Dashboard!$K$28)</f>
        <v>2.5300000000000003E-2</v>
      </c>
      <c r="AN107" s="27">
        <f t="shared" si="19"/>
        <v>0</v>
      </c>
      <c r="AO107" s="63">
        <f>Tabel2[[#This Row],[Aflossing]]+V107</f>
        <v>455.00827867855475</v>
      </c>
      <c r="AP107" s="63">
        <f t="shared" si="33"/>
        <v>338.39345081086771</v>
      </c>
      <c r="AQ107" s="2">
        <f t="shared" si="20"/>
        <v>360.11298774986244</v>
      </c>
      <c r="AU107" s="20"/>
      <c r="AV107" s="20"/>
    </row>
    <row r="108" spans="1:48">
      <c r="A108" s="71">
        <v>97</v>
      </c>
      <c r="B108" s="77">
        <f t="shared" si="21"/>
        <v>160047.81424031008</v>
      </c>
      <c r="C108" s="73">
        <f>B108/Dashboard!$I$25</f>
        <v>0.64019125696124035</v>
      </c>
      <c r="D108" s="74">
        <f t="shared" si="22"/>
        <v>1.5E-3</v>
      </c>
      <c r="E108" s="73">
        <f>IF($D$2="JA",Dashboard!$K$26-$D$11+D108,Dashboard!$K$26)</f>
        <v>2.5300000000000003E-2</v>
      </c>
      <c r="F108" s="72">
        <f t="shared" si="23"/>
        <v>337.43414168998714</v>
      </c>
      <c r="G108" s="72">
        <f t="shared" si="34"/>
        <v>455.96758779943531</v>
      </c>
      <c r="H108" s="72">
        <f>IFERROR(-PMT(E108^1/12,Dashboard!$I$30-A108,B108),0)</f>
        <v>793.40172948942245</v>
      </c>
      <c r="I108" s="75">
        <f t="shared" si="24"/>
        <v>793.40172948942245</v>
      </c>
      <c r="J108" s="76">
        <f t="shared" si="35"/>
        <v>160795.64852570792</v>
      </c>
      <c r="K108" s="76">
        <f>J108*Dashboard!$K$26/12</f>
        <v>359.11028170741434</v>
      </c>
      <c r="L108" s="76">
        <f t="shared" si="25"/>
        <v>449.97556086994081</v>
      </c>
      <c r="M108" s="76">
        <f>IF(H108=0,0,IFERROR(-PMT(Dashboard!$K$26^1/12,Dashboard!$I$30,Dashboard!$I$26),0))</f>
        <v>809.08584257735515</v>
      </c>
      <c r="P108" s="59">
        <v>97</v>
      </c>
      <c r="Q108" s="28">
        <f t="shared" si="26"/>
        <v>0</v>
      </c>
      <c r="R108" s="20">
        <f>Q108/Dashboard!$I$25</f>
        <v>0</v>
      </c>
      <c r="S108" s="20">
        <f t="shared" si="27"/>
        <v>0</v>
      </c>
      <c r="T108" s="20">
        <f>IF($D$2="JA",Dashboard!$K$27-$S$11+S108,Dashboard!$K$27)</f>
        <v>2.6800000000000001E-2</v>
      </c>
      <c r="U108" s="27">
        <f t="shared" si="28"/>
        <v>0</v>
      </c>
      <c r="V108" s="26">
        <f>IF(Q108&lt;=1,0,Dashboard!$I$27/Dashboard!$I$30)</f>
        <v>0</v>
      </c>
      <c r="W108" s="28">
        <f>Q108*Dashboard!$K$27/12</f>
        <v>0</v>
      </c>
      <c r="Y108" s="59">
        <v>97</v>
      </c>
      <c r="Z108" s="67">
        <f>Dashboard!$I$28</f>
        <v>0</v>
      </c>
      <c r="AA108" s="64">
        <f>IF(Z108&lt;=1,0,Dashboard!$I$30-Y108)</f>
        <v>0</v>
      </c>
      <c r="AB108" s="64">
        <f t="shared" si="29"/>
        <v>0</v>
      </c>
      <c r="AC108" s="1">
        <f>Dashboard!$K$28</f>
        <v>2.6800000000000001E-2</v>
      </c>
      <c r="AD108" s="28">
        <f t="shared" si="30"/>
        <v>0</v>
      </c>
      <c r="AF108" s="2">
        <f t="shared" si="31"/>
        <v>160047.81424031008</v>
      </c>
      <c r="AG108" s="62">
        <f>(B108+Q108+Z108)/Dashboard!$I$25</f>
        <v>0.64019125696124035</v>
      </c>
      <c r="AH108" s="20">
        <f t="shared" si="32"/>
        <v>1.5E-3</v>
      </c>
      <c r="AI108" s="20">
        <f>IF($D$2="JA",Dashboard!$K$26-$AH$11+AH108,Dashboard!$K$26)</f>
        <v>2.5300000000000003E-2</v>
      </c>
      <c r="AJ108" s="27">
        <f>Tabel2[[#This Row],[Schuldrest]]*AI108/12</f>
        <v>337.43414168998714</v>
      </c>
      <c r="AK108" s="20">
        <f>IF($D$2="JA",Dashboard!$K$27-$AH$11+AH108,Dashboard!$K$27)</f>
        <v>2.5300000000000003E-2</v>
      </c>
      <c r="AL108" s="27">
        <f t="shared" si="18"/>
        <v>0</v>
      </c>
      <c r="AM108" s="20">
        <f>IF($D$2="JA",Dashboard!$K$28-$AH$11+AH108,Dashboard!$K$28)</f>
        <v>2.5300000000000003E-2</v>
      </c>
      <c r="AN108" s="27">
        <f t="shared" si="19"/>
        <v>0</v>
      </c>
      <c r="AO108" s="63">
        <f>Tabel2[[#This Row],[Aflossing]]+V108</f>
        <v>455.96758779943531</v>
      </c>
      <c r="AP108" s="63">
        <f t="shared" si="33"/>
        <v>337.43414168998714</v>
      </c>
      <c r="AQ108" s="2">
        <f t="shared" si="20"/>
        <v>359.11028170741434</v>
      </c>
      <c r="AU108" s="20"/>
      <c r="AV108" s="20"/>
    </row>
    <row r="109" spans="1:48">
      <c r="A109" s="71">
        <v>98</v>
      </c>
      <c r="B109" s="77">
        <f t="shared" si="21"/>
        <v>159591.84665251063</v>
      </c>
      <c r="C109" s="73">
        <f>B109/Dashboard!$I$25</f>
        <v>0.63836738661004255</v>
      </c>
      <c r="D109" s="74">
        <f t="shared" si="22"/>
        <v>1.5E-3</v>
      </c>
      <c r="E109" s="73">
        <f>IF($D$2="JA",Dashboard!$K$26-$D$11+D109,Dashboard!$K$26)</f>
        <v>2.5300000000000003E-2</v>
      </c>
      <c r="F109" s="72">
        <f t="shared" si="23"/>
        <v>336.47281002570998</v>
      </c>
      <c r="G109" s="72">
        <f t="shared" si="34"/>
        <v>456.92891946371225</v>
      </c>
      <c r="H109" s="72">
        <f>IFERROR(-PMT(E109^1/12,Dashboard!$I$30-A109,B109),0)</f>
        <v>793.40172948942222</v>
      </c>
      <c r="I109" s="75">
        <f t="shared" si="24"/>
        <v>793.40172948942222</v>
      </c>
      <c r="J109" s="76">
        <f t="shared" si="35"/>
        <v>160345.67296483798</v>
      </c>
      <c r="K109" s="76">
        <f>J109*Dashboard!$K$26/12</f>
        <v>358.10533628813818</v>
      </c>
      <c r="L109" s="76">
        <f t="shared" si="25"/>
        <v>450.98050628921698</v>
      </c>
      <c r="M109" s="76">
        <f>IF(H109=0,0,IFERROR(-PMT(Dashboard!$K$26^1/12,Dashboard!$I$30,Dashboard!$I$26),0))</f>
        <v>809.08584257735515</v>
      </c>
      <c r="P109" s="59">
        <v>98</v>
      </c>
      <c r="Q109" s="28">
        <f t="shared" si="26"/>
        <v>0</v>
      </c>
      <c r="R109" s="20">
        <f>Q109/Dashboard!$I$25</f>
        <v>0</v>
      </c>
      <c r="S109" s="20">
        <f t="shared" si="27"/>
        <v>0</v>
      </c>
      <c r="T109" s="20">
        <f>IF($D$2="JA",Dashboard!$K$27-$S$11+S109,Dashboard!$K$27)</f>
        <v>2.6800000000000001E-2</v>
      </c>
      <c r="U109" s="27">
        <f t="shared" si="28"/>
        <v>0</v>
      </c>
      <c r="V109" s="26">
        <f>IF(Q109&lt;=1,0,Dashboard!$I$27/Dashboard!$I$30)</f>
        <v>0</v>
      </c>
      <c r="W109" s="28">
        <f>Q109*Dashboard!$K$27/12</f>
        <v>0</v>
      </c>
      <c r="Y109" s="59">
        <v>98</v>
      </c>
      <c r="Z109" s="67">
        <f>Dashboard!$I$28</f>
        <v>0</v>
      </c>
      <c r="AA109" s="64">
        <f>IF(Z109&lt;=1,0,Dashboard!$I$30-Y109)</f>
        <v>0</v>
      </c>
      <c r="AB109" s="64">
        <f t="shared" si="29"/>
        <v>0</v>
      </c>
      <c r="AC109" s="1">
        <f>Dashboard!$K$28</f>
        <v>2.6800000000000001E-2</v>
      </c>
      <c r="AD109" s="28">
        <f t="shared" si="30"/>
        <v>0</v>
      </c>
      <c r="AF109" s="2">
        <f t="shared" si="31"/>
        <v>159591.84665251063</v>
      </c>
      <c r="AG109" s="62">
        <f>(B109+Q109+Z109)/Dashboard!$I$25</f>
        <v>0.63836738661004255</v>
      </c>
      <c r="AH109" s="20">
        <f t="shared" si="32"/>
        <v>1.5E-3</v>
      </c>
      <c r="AI109" s="20">
        <f>IF($D$2="JA",Dashboard!$K$26-$AH$11+AH109,Dashboard!$K$26)</f>
        <v>2.5300000000000003E-2</v>
      </c>
      <c r="AJ109" s="27">
        <f>Tabel2[[#This Row],[Schuldrest]]*AI109/12</f>
        <v>336.47281002570998</v>
      </c>
      <c r="AK109" s="20">
        <f>IF($D$2="JA",Dashboard!$K$27-$AH$11+AH109,Dashboard!$K$27)</f>
        <v>2.5300000000000003E-2</v>
      </c>
      <c r="AL109" s="27">
        <f t="shared" si="18"/>
        <v>0</v>
      </c>
      <c r="AM109" s="20">
        <f>IF($D$2="JA",Dashboard!$K$28-$AH$11+AH109,Dashboard!$K$28)</f>
        <v>2.5300000000000003E-2</v>
      </c>
      <c r="AN109" s="27">
        <f t="shared" si="19"/>
        <v>0</v>
      </c>
      <c r="AO109" s="63">
        <f>Tabel2[[#This Row],[Aflossing]]+V109</f>
        <v>456.92891946371225</v>
      </c>
      <c r="AP109" s="63">
        <f t="shared" si="33"/>
        <v>336.47281002570998</v>
      </c>
      <c r="AQ109" s="2">
        <f t="shared" si="20"/>
        <v>358.10533628813818</v>
      </c>
      <c r="AU109" s="20"/>
      <c r="AV109" s="20"/>
    </row>
    <row r="110" spans="1:48">
      <c r="A110" s="71">
        <v>99</v>
      </c>
      <c r="B110" s="77">
        <f t="shared" si="21"/>
        <v>159134.91773304692</v>
      </c>
      <c r="C110" s="73">
        <f>B110/Dashboard!$I$25</f>
        <v>0.63653967093218766</v>
      </c>
      <c r="D110" s="74">
        <f t="shared" si="22"/>
        <v>1.5E-3</v>
      </c>
      <c r="E110" s="73">
        <f>IF($D$2="JA",Dashboard!$K$26-$D$11+D110,Dashboard!$K$26)</f>
        <v>2.5300000000000003E-2</v>
      </c>
      <c r="F110" s="72">
        <f t="shared" si="23"/>
        <v>335.50945155384062</v>
      </c>
      <c r="G110" s="72">
        <f t="shared" si="34"/>
        <v>457.89227793558183</v>
      </c>
      <c r="H110" s="72">
        <f>IFERROR(-PMT(E110^1/12,Dashboard!$I$30-A110,B110),0)</f>
        <v>793.40172948942245</v>
      </c>
      <c r="I110" s="75">
        <f t="shared" si="24"/>
        <v>793.40172948942245</v>
      </c>
      <c r="J110" s="76">
        <f t="shared" si="35"/>
        <v>159894.69245854876</v>
      </c>
      <c r="K110" s="76">
        <f>J110*Dashboard!$K$26/12</f>
        <v>357.09814649075889</v>
      </c>
      <c r="L110" s="76">
        <f t="shared" si="25"/>
        <v>451.98769608659626</v>
      </c>
      <c r="M110" s="76">
        <f>IF(H110=0,0,IFERROR(-PMT(Dashboard!$K$26^1/12,Dashboard!$I$30,Dashboard!$I$26),0))</f>
        <v>809.08584257735515</v>
      </c>
      <c r="P110" s="59">
        <v>99</v>
      </c>
      <c r="Q110" s="28">
        <f t="shared" si="26"/>
        <v>0</v>
      </c>
      <c r="R110" s="20">
        <f>Q110/Dashboard!$I$25</f>
        <v>0</v>
      </c>
      <c r="S110" s="20">
        <f t="shared" si="27"/>
        <v>0</v>
      </c>
      <c r="T110" s="20">
        <f>IF($D$2="JA",Dashboard!$K$27-$S$11+S110,Dashboard!$K$27)</f>
        <v>2.6800000000000001E-2</v>
      </c>
      <c r="U110" s="27">
        <f t="shared" si="28"/>
        <v>0</v>
      </c>
      <c r="V110" s="26">
        <f>IF(Q110&lt;=1,0,Dashboard!$I$27/Dashboard!$I$30)</f>
        <v>0</v>
      </c>
      <c r="W110" s="28">
        <f>Q110*Dashboard!$K$27/12</f>
        <v>0</v>
      </c>
      <c r="Y110" s="59">
        <v>99</v>
      </c>
      <c r="Z110" s="67">
        <f>Dashboard!$I$28</f>
        <v>0</v>
      </c>
      <c r="AA110" s="64">
        <f>IF(Z110&lt;=1,0,Dashboard!$I$30-Y110)</f>
        <v>0</v>
      </c>
      <c r="AB110" s="64">
        <f t="shared" si="29"/>
        <v>0</v>
      </c>
      <c r="AC110" s="1">
        <f>Dashboard!$K$28</f>
        <v>2.6800000000000001E-2</v>
      </c>
      <c r="AD110" s="28">
        <f t="shared" si="30"/>
        <v>0</v>
      </c>
      <c r="AF110" s="2">
        <f t="shared" si="31"/>
        <v>159134.91773304692</v>
      </c>
      <c r="AG110" s="62">
        <f>(B110+Q110+Z110)/Dashboard!$I$25</f>
        <v>0.63653967093218766</v>
      </c>
      <c r="AH110" s="20">
        <f t="shared" si="32"/>
        <v>1.5E-3</v>
      </c>
      <c r="AI110" s="20">
        <f>IF($D$2="JA",Dashboard!$K$26-$AH$11+AH110,Dashboard!$K$26)</f>
        <v>2.5300000000000003E-2</v>
      </c>
      <c r="AJ110" s="27">
        <f>Tabel2[[#This Row],[Schuldrest]]*AI110/12</f>
        <v>335.50945155384062</v>
      </c>
      <c r="AK110" s="20">
        <f>IF($D$2="JA",Dashboard!$K$27-$AH$11+AH110,Dashboard!$K$27)</f>
        <v>2.5300000000000003E-2</v>
      </c>
      <c r="AL110" s="27">
        <f t="shared" si="18"/>
        <v>0</v>
      </c>
      <c r="AM110" s="20">
        <f>IF($D$2="JA",Dashboard!$K$28-$AH$11+AH110,Dashboard!$K$28)</f>
        <v>2.5300000000000003E-2</v>
      </c>
      <c r="AN110" s="27">
        <f t="shared" si="19"/>
        <v>0</v>
      </c>
      <c r="AO110" s="63">
        <f>Tabel2[[#This Row],[Aflossing]]+V110</f>
        <v>457.89227793558183</v>
      </c>
      <c r="AP110" s="63">
        <f t="shared" si="33"/>
        <v>335.50945155384062</v>
      </c>
      <c r="AQ110" s="2">
        <f t="shared" si="20"/>
        <v>357.09814649075889</v>
      </c>
      <c r="AU110" s="20"/>
      <c r="AV110" s="20"/>
    </row>
    <row r="111" spans="1:48">
      <c r="A111" s="71">
        <v>100</v>
      </c>
      <c r="B111" s="77">
        <f t="shared" si="21"/>
        <v>158677.02545511135</v>
      </c>
      <c r="C111" s="73">
        <f>B111/Dashboard!$I$25</f>
        <v>0.63470810182044535</v>
      </c>
      <c r="D111" s="74">
        <f t="shared" si="22"/>
        <v>1.5E-3</v>
      </c>
      <c r="E111" s="73">
        <f>IF($D$2="JA",Dashboard!$K$26-$D$11+D111,Dashboard!$K$26)</f>
        <v>2.5300000000000003E-2</v>
      </c>
      <c r="F111" s="72">
        <f t="shared" si="23"/>
        <v>334.54406200119314</v>
      </c>
      <c r="G111" s="72">
        <f t="shared" si="34"/>
        <v>458.85766748822931</v>
      </c>
      <c r="H111" s="72">
        <f>IFERROR(-PMT(E111^1/12,Dashboard!$I$30-A111,B111),0)</f>
        <v>793.40172948942245</v>
      </c>
      <c r="I111" s="75">
        <f t="shared" si="24"/>
        <v>793.40172948942245</v>
      </c>
      <c r="J111" s="76">
        <f t="shared" si="35"/>
        <v>159442.70476246215</v>
      </c>
      <c r="K111" s="76">
        <f>J111*Dashboard!$K$26/12</f>
        <v>356.08870730283212</v>
      </c>
      <c r="L111" s="76">
        <f t="shared" si="25"/>
        <v>452.99713527452303</v>
      </c>
      <c r="M111" s="76">
        <f>IF(H111=0,0,IFERROR(-PMT(Dashboard!$K$26^1/12,Dashboard!$I$30,Dashboard!$I$26),0))</f>
        <v>809.08584257735515</v>
      </c>
      <c r="P111" s="59">
        <v>100</v>
      </c>
      <c r="Q111" s="28">
        <f t="shared" si="26"/>
        <v>0</v>
      </c>
      <c r="R111" s="20">
        <f>Q111/Dashboard!$I$25</f>
        <v>0</v>
      </c>
      <c r="S111" s="20">
        <f t="shared" si="27"/>
        <v>0</v>
      </c>
      <c r="T111" s="20">
        <f>IF($D$2="JA",Dashboard!$K$27-$S$11+S111,Dashboard!$K$27)</f>
        <v>2.6800000000000001E-2</v>
      </c>
      <c r="U111" s="27">
        <f t="shared" si="28"/>
        <v>0</v>
      </c>
      <c r="V111" s="26">
        <f>IF(Q111&lt;=1,0,Dashboard!$I$27/Dashboard!$I$30)</f>
        <v>0</v>
      </c>
      <c r="W111" s="28">
        <f>Q111*Dashboard!$K$27/12</f>
        <v>0</v>
      </c>
      <c r="Y111" s="59">
        <v>100</v>
      </c>
      <c r="Z111" s="67">
        <f>Dashboard!$I$28</f>
        <v>0</v>
      </c>
      <c r="AA111" s="64">
        <f>IF(Z111&lt;=1,0,Dashboard!$I$30-Y111)</f>
        <v>0</v>
      </c>
      <c r="AB111" s="64">
        <f t="shared" si="29"/>
        <v>0</v>
      </c>
      <c r="AC111" s="1">
        <f>Dashboard!$K$28</f>
        <v>2.6800000000000001E-2</v>
      </c>
      <c r="AD111" s="28">
        <f t="shared" si="30"/>
        <v>0</v>
      </c>
      <c r="AF111" s="2">
        <f t="shared" si="31"/>
        <v>158677.02545511135</v>
      </c>
      <c r="AG111" s="62">
        <f>(B111+Q111+Z111)/Dashboard!$I$25</f>
        <v>0.63470810182044535</v>
      </c>
      <c r="AH111" s="20">
        <f t="shared" si="32"/>
        <v>1.5E-3</v>
      </c>
      <c r="AI111" s="20">
        <f>IF($D$2="JA",Dashboard!$K$26-$AH$11+AH111,Dashboard!$K$26)</f>
        <v>2.5300000000000003E-2</v>
      </c>
      <c r="AJ111" s="27">
        <f>Tabel2[[#This Row],[Schuldrest]]*AI111/12</f>
        <v>334.54406200119314</v>
      </c>
      <c r="AK111" s="20">
        <f>IF($D$2="JA",Dashboard!$K$27-$AH$11+AH111,Dashboard!$K$27)</f>
        <v>2.5300000000000003E-2</v>
      </c>
      <c r="AL111" s="27">
        <f t="shared" si="18"/>
        <v>0</v>
      </c>
      <c r="AM111" s="20">
        <f>IF($D$2="JA",Dashboard!$K$28-$AH$11+AH111,Dashboard!$K$28)</f>
        <v>2.5300000000000003E-2</v>
      </c>
      <c r="AN111" s="27">
        <f t="shared" si="19"/>
        <v>0</v>
      </c>
      <c r="AO111" s="63">
        <f>Tabel2[[#This Row],[Aflossing]]+V111</f>
        <v>458.85766748822931</v>
      </c>
      <c r="AP111" s="63">
        <f t="shared" si="33"/>
        <v>334.54406200119314</v>
      </c>
      <c r="AQ111" s="2">
        <f t="shared" si="20"/>
        <v>356.08870730283212</v>
      </c>
      <c r="AU111" s="20"/>
      <c r="AV111" s="20"/>
    </row>
    <row r="112" spans="1:48">
      <c r="A112" s="71">
        <v>101</v>
      </c>
      <c r="B112" s="77">
        <f t="shared" si="21"/>
        <v>158218.16778762313</v>
      </c>
      <c r="C112" s="73">
        <f>B112/Dashboard!$I$25</f>
        <v>0.63287267115049251</v>
      </c>
      <c r="D112" s="74">
        <f t="shared" si="22"/>
        <v>1.5E-3</v>
      </c>
      <c r="E112" s="73">
        <f>IF($D$2="JA",Dashboard!$K$26-$D$11+D112,Dashboard!$K$26)</f>
        <v>2.5300000000000003E-2</v>
      </c>
      <c r="F112" s="72">
        <f t="shared" si="23"/>
        <v>333.57663708557214</v>
      </c>
      <c r="G112" s="72">
        <f t="shared" si="34"/>
        <v>459.82509240385031</v>
      </c>
      <c r="H112" s="72">
        <f>IFERROR(-PMT(E112^1/12,Dashboard!$I$30-A112,B112),0)</f>
        <v>793.40172948942245</v>
      </c>
      <c r="I112" s="75">
        <f t="shared" si="24"/>
        <v>793.40172948942245</v>
      </c>
      <c r="J112" s="76">
        <f t="shared" si="35"/>
        <v>158989.70762718763</v>
      </c>
      <c r="K112" s="76">
        <f>J112*Dashboard!$K$26/12</f>
        <v>355.07701370071908</v>
      </c>
      <c r="L112" s="76">
        <f t="shared" si="25"/>
        <v>454.00882887663607</v>
      </c>
      <c r="M112" s="76">
        <f>IF(H112=0,0,IFERROR(-PMT(Dashboard!$K$26^1/12,Dashboard!$I$30,Dashboard!$I$26),0))</f>
        <v>809.08584257735515</v>
      </c>
      <c r="P112" s="59">
        <v>101</v>
      </c>
      <c r="Q112" s="28">
        <f t="shared" si="26"/>
        <v>0</v>
      </c>
      <c r="R112" s="20">
        <f>Q112/Dashboard!$I$25</f>
        <v>0</v>
      </c>
      <c r="S112" s="20">
        <f t="shared" si="27"/>
        <v>0</v>
      </c>
      <c r="T112" s="20">
        <f>IF($D$2="JA",Dashboard!$K$27-$S$11+S112,Dashboard!$K$27)</f>
        <v>2.6800000000000001E-2</v>
      </c>
      <c r="U112" s="27">
        <f t="shared" si="28"/>
        <v>0</v>
      </c>
      <c r="V112" s="26">
        <f>IF(Q112&lt;=1,0,Dashboard!$I$27/Dashboard!$I$30)</f>
        <v>0</v>
      </c>
      <c r="W112" s="28">
        <f>Q112*Dashboard!$K$27/12</f>
        <v>0</v>
      </c>
      <c r="Y112" s="59">
        <v>101</v>
      </c>
      <c r="Z112" s="67">
        <f>Dashboard!$I$28</f>
        <v>0</v>
      </c>
      <c r="AA112" s="64">
        <f>IF(Z112&lt;=1,0,Dashboard!$I$30-Y112)</f>
        <v>0</v>
      </c>
      <c r="AB112" s="64">
        <f t="shared" si="29"/>
        <v>0</v>
      </c>
      <c r="AC112" s="1">
        <f>Dashboard!$K$28</f>
        <v>2.6800000000000001E-2</v>
      </c>
      <c r="AD112" s="28">
        <f t="shared" si="30"/>
        <v>0</v>
      </c>
      <c r="AF112" s="2">
        <f t="shared" si="31"/>
        <v>158218.16778762313</v>
      </c>
      <c r="AG112" s="62">
        <f>(B112+Q112+Z112)/Dashboard!$I$25</f>
        <v>0.63287267115049251</v>
      </c>
      <c r="AH112" s="20">
        <f t="shared" si="32"/>
        <v>1.5E-3</v>
      </c>
      <c r="AI112" s="20">
        <f>IF($D$2="JA",Dashboard!$K$26-$AH$11+AH112,Dashboard!$K$26)</f>
        <v>2.5300000000000003E-2</v>
      </c>
      <c r="AJ112" s="27">
        <f>Tabel2[[#This Row],[Schuldrest]]*AI112/12</f>
        <v>333.57663708557214</v>
      </c>
      <c r="AK112" s="20">
        <f>IF($D$2="JA",Dashboard!$K$27-$AH$11+AH112,Dashboard!$K$27)</f>
        <v>2.5300000000000003E-2</v>
      </c>
      <c r="AL112" s="27">
        <f t="shared" si="18"/>
        <v>0</v>
      </c>
      <c r="AM112" s="20">
        <f>IF($D$2="JA",Dashboard!$K$28-$AH$11+AH112,Dashboard!$K$28)</f>
        <v>2.5300000000000003E-2</v>
      </c>
      <c r="AN112" s="27">
        <f t="shared" si="19"/>
        <v>0</v>
      </c>
      <c r="AO112" s="63">
        <f>Tabel2[[#This Row],[Aflossing]]+V112</f>
        <v>459.82509240385031</v>
      </c>
      <c r="AP112" s="63">
        <f t="shared" si="33"/>
        <v>333.57663708557214</v>
      </c>
      <c r="AQ112" s="2">
        <f t="shared" si="20"/>
        <v>355.07701370071908</v>
      </c>
      <c r="AU112" s="20"/>
      <c r="AV112" s="20"/>
    </row>
    <row r="113" spans="1:48">
      <c r="A113" s="71">
        <v>102</v>
      </c>
      <c r="B113" s="77">
        <f t="shared" si="21"/>
        <v>157758.34269521927</v>
      </c>
      <c r="C113" s="73">
        <f>B113/Dashboard!$I$25</f>
        <v>0.63103337078087707</v>
      </c>
      <c r="D113" s="74">
        <f t="shared" si="22"/>
        <v>1.5E-3</v>
      </c>
      <c r="E113" s="73">
        <f>IF($D$2="JA",Dashboard!$K$26-$D$11+D113,Dashboard!$K$26)</f>
        <v>2.5300000000000003E-2</v>
      </c>
      <c r="F113" s="72">
        <f t="shared" si="23"/>
        <v>332.60717251575403</v>
      </c>
      <c r="G113" s="72">
        <f t="shared" si="34"/>
        <v>460.79455697366831</v>
      </c>
      <c r="H113" s="72">
        <f>IFERROR(-PMT(E113^1/12,Dashboard!$I$30-A113,B113),0)</f>
        <v>793.40172948942234</v>
      </c>
      <c r="I113" s="75">
        <f t="shared" si="24"/>
        <v>793.40172948942234</v>
      </c>
      <c r="J113" s="76">
        <f t="shared" si="35"/>
        <v>158535.698798311</v>
      </c>
      <c r="K113" s="76">
        <f>J113*Dashboard!$K$26/12</f>
        <v>354.06306064956124</v>
      </c>
      <c r="L113" s="76">
        <f t="shared" si="25"/>
        <v>455.02278192779391</v>
      </c>
      <c r="M113" s="76">
        <f>IF(H113=0,0,IFERROR(-PMT(Dashboard!$K$26^1/12,Dashboard!$I$30,Dashboard!$I$26),0))</f>
        <v>809.08584257735515</v>
      </c>
      <c r="P113" s="59">
        <v>102</v>
      </c>
      <c r="Q113" s="28">
        <f t="shared" si="26"/>
        <v>0</v>
      </c>
      <c r="R113" s="20">
        <f>Q113/Dashboard!$I$25</f>
        <v>0</v>
      </c>
      <c r="S113" s="20">
        <f t="shared" si="27"/>
        <v>0</v>
      </c>
      <c r="T113" s="20">
        <f>IF($D$2="JA",Dashboard!$K$27-$S$11+S113,Dashboard!$K$27)</f>
        <v>2.6800000000000001E-2</v>
      </c>
      <c r="U113" s="27">
        <f t="shared" si="28"/>
        <v>0</v>
      </c>
      <c r="V113" s="26">
        <f>IF(Q113&lt;=1,0,Dashboard!$I$27/Dashboard!$I$30)</f>
        <v>0</v>
      </c>
      <c r="W113" s="28">
        <f>Q113*Dashboard!$K$27/12</f>
        <v>0</v>
      </c>
      <c r="Y113" s="59">
        <v>102</v>
      </c>
      <c r="Z113" s="67">
        <f>Dashboard!$I$28</f>
        <v>0</v>
      </c>
      <c r="AA113" s="64">
        <f>IF(Z113&lt;=1,0,Dashboard!$I$30-Y113)</f>
        <v>0</v>
      </c>
      <c r="AB113" s="64">
        <f t="shared" si="29"/>
        <v>0</v>
      </c>
      <c r="AC113" s="1">
        <f>Dashboard!$K$28</f>
        <v>2.6800000000000001E-2</v>
      </c>
      <c r="AD113" s="28">
        <f t="shared" si="30"/>
        <v>0</v>
      </c>
      <c r="AF113" s="2">
        <f t="shared" si="31"/>
        <v>157758.34269521927</v>
      </c>
      <c r="AG113" s="62">
        <f>(B113+Q113+Z113)/Dashboard!$I$25</f>
        <v>0.63103337078087707</v>
      </c>
      <c r="AH113" s="20">
        <f t="shared" si="32"/>
        <v>1.5E-3</v>
      </c>
      <c r="AI113" s="20">
        <f>IF($D$2="JA",Dashboard!$K$26-$AH$11+AH113,Dashboard!$K$26)</f>
        <v>2.5300000000000003E-2</v>
      </c>
      <c r="AJ113" s="27">
        <f>Tabel2[[#This Row],[Schuldrest]]*AI113/12</f>
        <v>332.60717251575403</v>
      </c>
      <c r="AK113" s="20">
        <f>IF($D$2="JA",Dashboard!$K$27-$AH$11+AH113,Dashboard!$K$27)</f>
        <v>2.5300000000000003E-2</v>
      </c>
      <c r="AL113" s="27">
        <f t="shared" si="18"/>
        <v>0</v>
      </c>
      <c r="AM113" s="20">
        <f>IF($D$2="JA",Dashboard!$K$28-$AH$11+AH113,Dashboard!$K$28)</f>
        <v>2.5300000000000003E-2</v>
      </c>
      <c r="AN113" s="27">
        <f t="shared" si="19"/>
        <v>0</v>
      </c>
      <c r="AO113" s="63">
        <f>Tabel2[[#This Row],[Aflossing]]+V113</f>
        <v>460.79455697366831</v>
      </c>
      <c r="AP113" s="63">
        <f t="shared" si="33"/>
        <v>332.60717251575403</v>
      </c>
      <c r="AQ113" s="2">
        <f t="shared" si="20"/>
        <v>354.06306064956124</v>
      </c>
      <c r="AU113" s="20"/>
      <c r="AV113" s="20"/>
    </row>
    <row r="114" spans="1:48">
      <c r="A114" s="71">
        <v>103</v>
      </c>
      <c r="B114" s="77">
        <f t="shared" si="21"/>
        <v>157297.54813824559</v>
      </c>
      <c r="C114" s="73">
        <f>B114/Dashboard!$I$25</f>
        <v>0.62919019255298236</v>
      </c>
      <c r="D114" s="74">
        <f t="shared" si="22"/>
        <v>1.5E-3</v>
      </c>
      <c r="E114" s="73">
        <f>IF($D$2="JA",Dashboard!$K$26-$D$11+D114,Dashboard!$K$26)</f>
        <v>2.5300000000000003E-2</v>
      </c>
      <c r="F114" s="72">
        <f t="shared" si="23"/>
        <v>331.63566399146782</v>
      </c>
      <c r="G114" s="72">
        <f t="shared" si="34"/>
        <v>461.76606549795451</v>
      </c>
      <c r="H114" s="72">
        <f>IFERROR(-PMT(E114^1/12,Dashboard!$I$30-A114,B114),0)</f>
        <v>793.40172948942234</v>
      </c>
      <c r="I114" s="75">
        <f t="shared" si="24"/>
        <v>793.40172948942234</v>
      </c>
      <c r="J114" s="76">
        <f t="shared" si="35"/>
        <v>158080.67601638319</v>
      </c>
      <c r="K114" s="76">
        <f>J114*Dashboard!$K$26/12</f>
        <v>353.04684310325575</v>
      </c>
      <c r="L114" s="76">
        <f t="shared" si="25"/>
        <v>456.0389994740994</v>
      </c>
      <c r="M114" s="76">
        <f>IF(H114=0,0,IFERROR(-PMT(Dashboard!$K$26^1/12,Dashboard!$I$30,Dashboard!$I$26),0))</f>
        <v>809.08584257735515</v>
      </c>
      <c r="P114" s="59">
        <v>103</v>
      </c>
      <c r="Q114" s="28">
        <f t="shared" si="26"/>
        <v>0</v>
      </c>
      <c r="R114" s="20">
        <f>Q114/Dashboard!$I$25</f>
        <v>0</v>
      </c>
      <c r="S114" s="20">
        <f t="shared" si="27"/>
        <v>0</v>
      </c>
      <c r="T114" s="20">
        <f>IF($D$2="JA",Dashboard!$K$27-$S$11+S114,Dashboard!$K$27)</f>
        <v>2.6800000000000001E-2</v>
      </c>
      <c r="U114" s="27">
        <f t="shared" si="28"/>
        <v>0</v>
      </c>
      <c r="V114" s="26">
        <f>IF(Q114&lt;=1,0,Dashboard!$I$27/Dashboard!$I$30)</f>
        <v>0</v>
      </c>
      <c r="W114" s="28">
        <f>Q114*Dashboard!$K$27/12</f>
        <v>0</v>
      </c>
      <c r="Y114" s="59">
        <v>103</v>
      </c>
      <c r="Z114" s="67">
        <f>Dashboard!$I$28</f>
        <v>0</v>
      </c>
      <c r="AA114" s="64">
        <f>IF(Z114&lt;=1,0,Dashboard!$I$30-Y114)</f>
        <v>0</v>
      </c>
      <c r="AB114" s="64">
        <f t="shared" si="29"/>
        <v>0</v>
      </c>
      <c r="AC114" s="1">
        <f>Dashboard!$K$28</f>
        <v>2.6800000000000001E-2</v>
      </c>
      <c r="AD114" s="28">
        <f t="shared" si="30"/>
        <v>0</v>
      </c>
      <c r="AF114" s="2">
        <f t="shared" si="31"/>
        <v>157297.54813824559</v>
      </c>
      <c r="AG114" s="62">
        <f>(B114+Q114+Z114)/Dashboard!$I$25</f>
        <v>0.62919019255298236</v>
      </c>
      <c r="AH114" s="20">
        <f t="shared" si="32"/>
        <v>1.5E-3</v>
      </c>
      <c r="AI114" s="20">
        <f>IF($D$2="JA",Dashboard!$K$26-$AH$11+AH114,Dashboard!$K$26)</f>
        <v>2.5300000000000003E-2</v>
      </c>
      <c r="AJ114" s="27">
        <f>Tabel2[[#This Row],[Schuldrest]]*AI114/12</f>
        <v>331.63566399146782</v>
      </c>
      <c r="AK114" s="20">
        <f>IF($D$2="JA",Dashboard!$K$27-$AH$11+AH114,Dashboard!$K$27)</f>
        <v>2.5300000000000003E-2</v>
      </c>
      <c r="AL114" s="27">
        <f t="shared" si="18"/>
        <v>0</v>
      </c>
      <c r="AM114" s="20">
        <f>IF($D$2="JA",Dashboard!$K$28-$AH$11+AH114,Dashboard!$K$28)</f>
        <v>2.5300000000000003E-2</v>
      </c>
      <c r="AN114" s="27">
        <f t="shared" si="19"/>
        <v>0</v>
      </c>
      <c r="AO114" s="63">
        <f>Tabel2[[#This Row],[Aflossing]]+V114</f>
        <v>461.76606549795451</v>
      </c>
      <c r="AP114" s="63">
        <f t="shared" si="33"/>
        <v>331.63566399146782</v>
      </c>
      <c r="AQ114" s="2">
        <f t="shared" si="20"/>
        <v>353.04684310325575</v>
      </c>
      <c r="AU114" s="20"/>
      <c r="AV114" s="20"/>
    </row>
    <row r="115" spans="1:48">
      <c r="A115" s="71">
        <v>104</v>
      </c>
      <c r="B115" s="77">
        <f t="shared" si="21"/>
        <v>156835.78207274765</v>
      </c>
      <c r="C115" s="73">
        <f>B115/Dashboard!$I$25</f>
        <v>0.62734312829099059</v>
      </c>
      <c r="D115" s="74">
        <f t="shared" si="22"/>
        <v>1.5E-3</v>
      </c>
      <c r="E115" s="73">
        <f>IF($D$2="JA",Dashboard!$K$26-$D$11+D115,Dashboard!$K$26)</f>
        <v>2.5300000000000003E-2</v>
      </c>
      <c r="F115" s="72">
        <f t="shared" si="23"/>
        <v>330.66210720337637</v>
      </c>
      <c r="G115" s="72">
        <f t="shared" si="34"/>
        <v>462.73962228604609</v>
      </c>
      <c r="H115" s="72">
        <f>IFERROR(-PMT(E115^1/12,Dashboard!$I$30-A115,B115),0)</f>
        <v>793.40172948942245</v>
      </c>
      <c r="I115" s="75">
        <f t="shared" si="24"/>
        <v>793.40172948942245</v>
      </c>
      <c r="J115" s="76">
        <f t="shared" si="35"/>
        <v>157624.63701690908</v>
      </c>
      <c r="K115" s="76">
        <f>J115*Dashboard!$K$26/12</f>
        <v>352.02835600443024</v>
      </c>
      <c r="L115" s="76">
        <f t="shared" si="25"/>
        <v>457.05748657292492</v>
      </c>
      <c r="M115" s="76">
        <f>IF(H115=0,0,IFERROR(-PMT(Dashboard!$K$26^1/12,Dashboard!$I$30,Dashboard!$I$26),0))</f>
        <v>809.08584257735515</v>
      </c>
      <c r="P115" s="59">
        <v>104</v>
      </c>
      <c r="Q115" s="28">
        <f t="shared" si="26"/>
        <v>0</v>
      </c>
      <c r="R115" s="20">
        <f>Q115/Dashboard!$I$25</f>
        <v>0</v>
      </c>
      <c r="S115" s="20">
        <f t="shared" si="27"/>
        <v>0</v>
      </c>
      <c r="T115" s="20">
        <f>IF($D$2="JA",Dashboard!$K$27-$S$11+S115,Dashboard!$K$27)</f>
        <v>2.6800000000000001E-2</v>
      </c>
      <c r="U115" s="27">
        <f t="shared" si="28"/>
        <v>0</v>
      </c>
      <c r="V115" s="26">
        <f>IF(Q115&lt;=1,0,Dashboard!$I$27/Dashboard!$I$30)</f>
        <v>0</v>
      </c>
      <c r="W115" s="28">
        <f>Q115*Dashboard!$K$27/12</f>
        <v>0</v>
      </c>
      <c r="Y115" s="59">
        <v>104</v>
      </c>
      <c r="Z115" s="67">
        <f>Dashboard!$I$28</f>
        <v>0</v>
      </c>
      <c r="AA115" s="64">
        <f>IF(Z115&lt;=1,0,Dashboard!$I$30-Y115)</f>
        <v>0</v>
      </c>
      <c r="AB115" s="64">
        <f t="shared" si="29"/>
        <v>0</v>
      </c>
      <c r="AC115" s="1">
        <f>Dashboard!$K$28</f>
        <v>2.6800000000000001E-2</v>
      </c>
      <c r="AD115" s="28">
        <f t="shared" si="30"/>
        <v>0</v>
      </c>
      <c r="AF115" s="2">
        <f t="shared" si="31"/>
        <v>156835.78207274765</v>
      </c>
      <c r="AG115" s="62">
        <f>(B115+Q115+Z115)/Dashboard!$I$25</f>
        <v>0.62734312829099059</v>
      </c>
      <c r="AH115" s="20">
        <f t="shared" si="32"/>
        <v>1.5E-3</v>
      </c>
      <c r="AI115" s="20">
        <f>IF($D$2="JA",Dashboard!$K$26-$AH$11+AH115,Dashboard!$K$26)</f>
        <v>2.5300000000000003E-2</v>
      </c>
      <c r="AJ115" s="27">
        <f>Tabel2[[#This Row],[Schuldrest]]*AI115/12</f>
        <v>330.66210720337637</v>
      </c>
      <c r="AK115" s="20">
        <f>IF($D$2="JA",Dashboard!$K$27-$AH$11+AH115,Dashboard!$K$27)</f>
        <v>2.5300000000000003E-2</v>
      </c>
      <c r="AL115" s="27">
        <f t="shared" si="18"/>
        <v>0</v>
      </c>
      <c r="AM115" s="20">
        <f>IF($D$2="JA",Dashboard!$K$28-$AH$11+AH115,Dashboard!$K$28)</f>
        <v>2.5300000000000003E-2</v>
      </c>
      <c r="AN115" s="27">
        <f t="shared" si="19"/>
        <v>0</v>
      </c>
      <c r="AO115" s="63">
        <f>Tabel2[[#This Row],[Aflossing]]+V115</f>
        <v>462.73962228604609</v>
      </c>
      <c r="AP115" s="63">
        <f t="shared" si="33"/>
        <v>330.66210720337637</v>
      </c>
      <c r="AQ115" s="2">
        <f t="shared" si="20"/>
        <v>352.02835600443024</v>
      </c>
      <c r="AU115" s="20"/>
      <c r="AV115" s="20"/>
    </row>
    <row r="116" spans="1:48">
      <c r="A116" s="71">
        <v>105</v>
      </c>
      <c r="B116" s="77">
        <f t="shared" si="21"/>
        <v>156373.04245046159</v>
      </c>
      <c r="C116" s="73">
        <f>B116/Dashboard!$I$25</f>
        <v>0.62549216980184641</v>
      </c>
      <c r="D116" s="74">
        <f t="shared" si="22"/>
        <v>1.5E-3</v>
      </c>
      <c r="E116" s="73">
        <f>IF($D$2="JA",Dashboard!$K$26-$D$11+D116,Dashboard!$K$26)</f>
        <v>2.5300000000000003E-2</v>
      </c>
      <c r="F116" s="72">
        <f t="shared" si="23"/>
        <v>329.68649783305654</v>
      </c>
      <c r="G116" s="72">
        <f t="shared" si="34"/>
        <v>463.7152316563658</v>
      </c>
      <c r="H116" s="72">
        <f>IFERROR(-PMT(E116^1/12,Dashboard!$I$30-A116,B116),0)</f>
        <v>793.40172948942234</v>
      </c>
      <c r="I116" s="75">
        <f t="shared" si="24"/>
        <v>793.40172948942234</v>
      </c>
      <c r="J116" s="76">
        <f t="shared" si="35"/>
        <v>157167.57953033617</v>
      </c>
      <c r="K116" s="76">
        <f>J116*Dashboard!$K$26/12</f>
        <v>351.00759428441739</v>
      </c>
      <c r="L116" s="76">
        <f t="shared" si="25"/>
        <v>458.07824829293776</v>
      </c>
      <c r="M116" s="76">
        <f>IF(H116=0,0,IFERROR(-PMT(Dashboard!$K$26^1/12,Dashboard!$I$30,Dashboard!$I$26),0))</f>
        <v>809.08584257735515</v>
      </c>
      <c r="P116" s="59">
        <v>105</v>
      </c>
      <c r="Q116" s="28">
        <f t="shared" si="26"/>
        <v>0</v>
      </c>
      <c r="R116" s="20">
        <f>Q116/Dashboard!$I$25</f>
        <v>0</v>
      </c>
      <c r="S116" s="20">
        <f t="shared" si="27"/>
        <v>0</v>
      </c>
      <c r="T116" s="20">
        <f>IF($D$2="JA",Dashboard!$K$27-$S$11+S116,Dashboard!$K$27)</f>
        <v>2.6800000000000001E-2</v>
      </c>
      <c r="U116" s="27">
        <f t="shared" si="28"/>
        <v>0</v>
      </c>
      <c r="V116" s="26">
        <f>IF(Q116&lt;=1,0,Dashboard!$I$27/Dashboard!$I$30)</f>
        <v>0</v>
      </c>
      <c r="W116" s="28">
        <f>Q116*Dashboard!$K$27/12</f>
        <v>0</v>
      </c>
      <c r="Y116" s="59">
        <v>105</v>
      </c>
      <c r="Z116" s="67">
        <f>Dashboard!$I$28</f>
        <v>0</v>
      </c>
      <c r="AA116" s="64">
        <f>IF(Z116&lt;=1,0,Dashboard!$I$30-Y116)</f>
        <v>0</v>
      </c>
      <c r="AB116" s="64">
        <f t="shared" si="29"/>
        <v>0</v>
      </c>
      <c r="AC116" s="1">
        <f>Dashboard!$K$28</f>
        <v>2.6800000000000001E-2</v>
      </c>
      <c r="AD116" s="28">
        <f t="shared" si="30"/>
        <v>0</v>
      </c>
      <c r="AF116" s="2">
        <f t="shared" si="31"/>
        <v>156373.04245046159</v>
      </c>
      <c r="AG116" s="62">
        <f>(B116+Q116+Z116)/Dashboard!$I$25</f>
        <v>0.62549216980184641</v>
      </c>
      <c r="AH116" s="20">
        <f t="shared" si="32"/>
        <v>1.5E-3</v>
      </c>
      <c r="AI116" s="20">
        <f>IF($D$2="JA",Dashboard!$K$26-$AH$11+AH116,Dashboard!$K$26)</f>
        <v>2.5300000000000003E-2</v>
      </c>
      <c r="AJ116" s="27">
        <f>Tabel2[[#This Row],[Schuldrest]]*AI116/12</f>
        <v>329.68649783305654</v>
      </c>
      <c r="AK116" s="20">
        <f>IF($D$2="JA",Dashboard!$K$27-$AH$11+AH116,Dashboard!$K$27)</f>
        <v>2.5300000000000003E-2</v>
      </c>
      <c r="AL116" s="27">
        <f t="shared" si="18"/>
        <v>0</v>
      </c>
      <c r="AM116" s="20">
        <f>IF($D$2="JA",Dashboard!$K$28-$AH$11+AH116,Dashboard!$K$28)</f>
        <v>2.5300000000000003E-2</v>
      </c>
      <c r="AN116" s="27">
        <f t="shared" si="19"/>
        <v>0</v>
      </c>
      <c r="AO116" s="63">
        <f>Tabel2[[#This Row],[Aflossing]]+V116</f>
        <v>463.7152316563658</v>
      </c>
      <c r="AP116" s="63">
        <f t="shared" si="33"/>
        <v>329.68649783305654</v>
      </c>
      <c r="AQ116" s="2">
        <f t="shared" si="20"/>
        <v>351.00759428441739</v>
      </c>
      <c r="AU116" s="20"/>
      <c r="AV116" s="20"/>
    </row>
    <row r="117" spans="1:48">
      <c r="A117" s="71">
        <v>106</v>
      </c>
      <c r="B117" s="77">
        <f t="shared" si="21"/>
        <v>155909.32721880524</v>
      </c>
      <c r="C117" s="73">
        <f>B117/Dashboard!$I$25</f>
        <v>0.62363730887522095</v>
      </c>
      <c r="D117" s="74">
        <f t="shared" si="22"/>
        <v>1.5E-3</v>
      </c>
      <c r="E117" s="73">
        <f>IF($D$2="JA",Dashboard!$K$26-$D$11+D117,Dashboard!$K$26)</f>
        <v>2.5300000000000003E-2</v>
      </c>
      <c r="F117" s="72">
        <f t="shared" si="23"/>
        <v>328.70883155298105</v>
      </c>
      <c r="G117" s="72">
        <f t="shared" si="34"/>
        <v>464.6928979364414</v>
      </c>
      <c r="H117" s="72">
        <f>IFERROR(-PMT(E117^1/12,Dashboard!$I$30-A117,B117),0)</f>
        <v>793.40172948942245</v>
      </c>
      <c r="I117" s="75">
        <f t="shared" si="24"/>
        <v>793.40172948942245</v>
      </c>
      <c r="J117" s="76">
        <f t="shared" si="35"/>
        <v>156709.50128204323</v>
      </c>
      <c r="K117" s="76">
        <f>J117*Dashboard!$K$26/12</f>
        <v>349.98455286322991</v>
      </c>
      <c r="L117" s="76">
        <f t="shared" si="25"/>
        <v>459.10128971412524</v>
      </c>
      <c r="M117" s="76">
        <f>IF(H117=0,0,IFERROR(-PMT(Dashboard!$K$26^1/12,Dashboard!$I$30,Dashboard!$I$26),0))</f>
        <v>809.08584257735515</v>
      </c>
      <c r="P117" s="59">
        <v>106</v>
      </c>
      <c r="Q117" s="28">
        <f t="shared" si="26"/>
        <v>0</v>
      </c>
      <c r="R117" s="20">
        <f>Q117/Dashboard!$I$25</f>
        <v>0</v>
      </c>
      <c r="S117" s="20">
        <f t="shared" si="27"/>
        <v>0</v>
      </c>
      <c r="T117" s="20">
        <f>IF($D$2="JA",Dashboard!$K$27-$S$11+S117,Dashboard!$K$27)</f>
        <v>2.6800000000000001E-2</v>
      </c>
      <c r="U117" s="27">
        <f t="shared" si="28"/>
        <v>0</v>
      </c>
      <c r="V117" s="26">
        <f>IF(Q117&lt;=1,0,Dashboard!$I$27/Dashboard!$I$30)</f>
        <v>0</v>
      </c>
      <c r="W117" s="28">
        <f>Q117*Dashboard!$K$27/12</f>
        <v>0</v>
      </c>
      <c r="Y117" s="59">
        <v>106</v>
      </c>
      <c r="Z117" s="67">
        <f>Dashboard!$I$28</f>
        <v>0</v>
      </c>
      <c r="AA117" s="64">
        <f>IF(Z117&lt;=1,0,Dashboard!$I$30-Y117)</f>
        <v>0</v>
      </c>
      <c r="AB117" s="64">
        <f t="shared" si="29"/>
        <v>0</v>
      </c>
      <c r="AC117" s="1">
        <f>Dashboard!$K$28</f>
        <v>2.6800000000000001E-2</v>
      </c>
      <c r="AD117" s="28">
        <f t="shared" si="30"/>
        <v>0</v>
      </c>
      <c r="AF117" s="2">
        <f t="shared" si="31"/>
        <v>155909.32721880524</v>
      </c>
      <c r="AG117" s="62">
        <f>(B117+Q117+Z117)/Dashboard!$I$25</f>
        <v>0.62363730887522095</v>
      </c>
      <c r="AH117" s="20">
        <f t="shared" si="32"/>
        <v>1.5E-3</v>
      </c>
      <c r="AI117" s="20">
        <f>IF($D$2="JA",Dashboard!$K$26-$AH$11+AH117,Dashboard!$K$26)</f>
        <v>2.5300000000000003E-2</v>
      </c>
      <c r="AJ117" s="27">
        <f>Tabel2[[#This Row],[Schuldrest]]*AI117/12</f>
        <v>328.70883155298105</v>
      </c>
      <c r="AK117" s="20">
        <f>IF($D$2="JA",Dashboard!$K$27-$AH$11+AH117,Dashboard!$K$27)</f>
        <v>2.5300000000000003E-2</v>
      </c>
      <c r="AL117" s="27">
        <f t="shared" si="18"/>
        <v>0</v>
      </c>
      <c r="AM117" s="20">
        <f>IF($D$2="JA",Dashboard!$K$28-$AH$11+AH117,Dashboard!$K$28)</f>
        <v>2.5300000000000003E-2</v>
      </c>
      <c r="AN117" s="27">
        <f t="shared" si="19"/>
        <v>0</v>
      </c>
      <c r="AO117" s="63">
        <f>Tabel2[[#This Row],[Aflossing]]+V117</f>
        <v>464.6928979364414</v>
      </c>
      <c r="AP117" s="63">
        <f t="shared" si="33"/>
        <v>328.70883155298105</v>
      </c>
      <c r="AQ117" s="2">
        <f t="shared" si="20"/>
        <v>349.98455286322991</v>
      </c>
      <c r="AU117" s="20"/>
      <c r="AV117" s="20"/>
    </row>
    <row r="118" spans="1:48">
      <c r="A118" s="71">
        <v>107</v>
      </c>
      <c r="B118" s="77">
        <f t="shared" si="21"/>
        <v>155444.63432086879</v>
      </c>
      <c r="C118" s="73">
        <f>B118/Dashboard!$I$25</f>
        <v>0.62177853728347521</v>
      </c>
      <c r="D118" s="74">
        <f t="shared" si="22"/>
        <v>1.5E-3</v>
      </c>
      <c r="E118" s="73">
        <f>IF($D$2="JA",Dashboard!$K$26-$D$11+D118,Dashboard!$K$26)</f>
        <v>2.5300000000000003E-2</v>
      </c>
      <c r="F118" s="72">
        <f t="shared" si="23"/>
        <v>327.72910402649842</v>
      </c>
      <c r="G118" s="72">
        <f t="shared" si="34"/>
        <v>465.67262546292403</v>
      </c>
      <c r="H118" s="72">
        <f>IFERROR(-PMT(E118^1/12,Dashboard!$I$30-A118,B118),0)</f>
        <v>793.40172948942245</v>
      </c>
      <c r="I118" s="75">
        <f t="shared" si="24"/>
        <v>793.40172948942245</v>
      </c>
      <c r="J118" s="76">
        <f t="shared" si="35"/>
        <v>156250.3999923291</v>
      </c>
      <c r="K118" s="76">
        <f>J118*Dashboard!$K$26/12</f>
        <v>348.95922664953497</v>
      </c>
      <c r="L118" s="76">
        <f t="shared" si="25"/>
        <v>460.12661592782018</v>
      </c>
      <c r="M118" s="76">
        <f>IF(H118=0,0,IFERROR(-PMT(Dashboard!$K$26^1/12,Dashboard!$I$30,Dashboard!$I$26),0))</f>
        <v>809.08584257735515</v>
      </c>
      <c r="P118" s="59">
        <v>107</v>
      </c>
      <c r="Q118" s="28">
        <f t="shared" si="26"/>
        <v>0</v>
      </c>
      <c r="R118" s="20">
        <f>Q118/Dashboard!$I$25</f>
        <v>0</v>
      </c>
      <c r="S118" s="20">
        <f t="shared" si="27"/>
        <v>0</v>
      </c>
      <c r="T118" s="20">
        <f>IF($D$2="JA",Dashboard!$K$27-$S$11+S118,Dashboard!$K$27)</f>
        <v>2.6800000000000001E-2</v>
      </c>
      <c r="U118" s="27">
        <f t="shared" si="28"/>
        <v>0</v>
      </c>
      <c r="V118" s="26">
        <f>IF(Q118&lt;=1,0,Dashboard!$I$27/Dashboard!$I$30)</f>
        <v>0</v>
      </c>
      <c r="W118" s="28">
        <f>Q118*Dashboard!$K$27/12</f>
        <v>0</v>
      </c>
      <c r="Y118" s="59">
        <v>107</v>
      </c>
      <c r="Z118" s="67">
        <f>Dashboard!$I$28</f>
        <v>0</v>
      </c>
      <c r="AA118" s="64">
        <f>IF(Z118&lt;=1,0,Dashboard!$I$30-Y118)</f>
        <v>0</v>
      </c>
      <c r="AB118" s="64">
        <f t="shared" si="29"/>
        <v>0</v>
      </c>
      <c r="AC118" s="1">
        <f>Dashboard!$K$28</f>
        <v>2.6800000000000001E-2</v>
      </c>
      <c r="AD118" s="28">
        <f t="shared" si="30"/>
        <v>0</v>
      </c>
      <c r="AF118" s="2">
        <f t="shared" si="31"/>
        <v>155444.63432086879</v>
      </c>
      <c r="AG118" s="62">
        <f>(B118+Q118+Z118)/Dashboard!$I$25</f>
        <v>0.62177853728347521</v>
      </c>
      <c r="AH118" s="20">
        <f t="shared" si="32"/>
        <v>1.5E-3</v>
      </c>
      <c r="AI118" s="20">
        <f>IF($D$2="JA",Dashboard!$K$26-$AH$11+AH118,Dashboard!$K$26)</f>
        <v>2.5300000000000003E-2</v>
      </c>
      <c r="AJ118" s="27">
        <f>Tabel2[[#This Row],[Schuldrest]]*AI118/12</f>
        <v>327.72910402649842</v>
      </c>
      <c r="AK118" s="20">
        <f>IF($D$2="JA",Dashboard!$K$27-$AH$11+AH118,Dashboard!$K$27)</f>
        <v>2.5300000000000003E-2</v>
      </c>
      <c r="AL118" s="27">
        <f t="shared" si="18"/>
        <v>0</v>
      </c>
      <c r="AM118" s="20">
        <f>IF($D$2="JA",Dashboard!$K$28-$AH$11+AH118,Dashboard!$K$28)</f>
        <v>2.5300000000000003E-2</v>
      </c>
      <c r="AN118" s="27">
        <f t="shared" si="19"/>
        <v>0</v>
      </c>
      <c r="AO118" s="63">
        <f>Tabel2[[#This Row],[Aflossing]]+V118</f>
        <v>465.67262546292403</v>
      </c>
      <c r="AP118" s="63">
        <f t="shared" si="33"/>
        <v>327.72910402649842</v>
      </c>
      <c r="AQ118" s="2">
        <f t="shared" si="20"/>
        <v>348.95922664953497</v>
      </c>
      <c r="AU118" s="20"/>
      <c r="AV118" s="20"/>
    </row>
    <row r="119" spans="1:48">
      <c r="A119" s="71">
        <v>108</v>
      </c>
      <c r="B119" s="77">
        <f t="shared" si="21"/>
        <v>154978.96169540586</v>
      </c>
      <c r="C119" s="73">
        <f>B119/Dashboard!$I$25</f>
        <v>0.61991584678162348</v>
      </c>
      <c r="D119" s="74">
        <f t="shared" si="22"/>
        <v>1.5E-3</v>
      </c>
      <c r="E119" s="73">
        <f>IF($D$2="JA",Dashboard!$K$26-$D$11+D119,Dashboard!$K$26)</f>
        <v>2.5300000000000003E-2</v>
      </c>
      <c r="F119" s="72">
        <f t="shared" si="23"/>
        <v>326.74731090781404</v>
      </c>
      <c r="G119" s="72">
        <f t="shared" si="34"/>
        <v>466.6544185816083</v>
      </c>
      <c r="H119" s="72">
        <f>IFERROR(-PMT(E119^1/12,Dashboard!$I$30-A119,B119),0)</f>
        <v>793.40172948942234</v>
      </c>
      <c r="I119" s="75">
        <f t="shared" si="24"/>
        <v>793.40172948942234</v>
      </c>
      <c r="J119" s="76">
        <f t="shared" si="35"/>
        <v>155790.27337640128</v>
      </c>
      <c r="K119" s="76">
        <f>J119*Dashboard!$K$26/12</f>
        <v>347.93161054062949</v>
      </c>
      <c r="L119" s="76">
        <f t="shared" si="25"/>
        <v>461.15423203672566</v>
      </c>
      <c r="M119" s="76">
        <f>IF(H119=0,0,IFERROR(-PMT(Dashboard!$K$26^1/12,Dashboard!$I$30,Dashboard!$I$26),0))</f>
        <v>809.08584257735515</v>
      </c>
      <c r="P119" s="59">
        <v>108</v>
      </c>
      <c r="Q119" s="28">
        <f t="shared" si="26"/>
        <v>0</v>
      </c>
      <c r="R119" s="20">
        <f>Q119/Dashboard!$I$25</f>
        <v>0</v>
      </c>
      <c r="S119" s="20">
        <f t="shared" si="27"/>
        <v>0</v>
      </c>
      <c r="T119" s="20">
        <f>IF($D$2="JA",Dashboard!$K$27-$S$11+S119,Dashboard!$K$27)</f>
        <v>2.6800000000000001E-2</v>
      </c>
      <c r="U119" s="27">
        <f t="shared" si="28"/>
        <v>0</v>
      </c>
      <c r="V119" s="26">
        <f>IF(Q119&lt;=1,0,Dashboard!$I$27/Dashboard!$I$30)</f>
        <v>0</v>
      </c>
      <c r="W119" s="28">
        <f>Q119*Dashboard!$K$27/12</f>
        <v>0</v>
      </c>
      <c r="Y119" s="59">
        <v>108</v>
      </c>
      <c r="Z119" s="67">
        <f>Dashboard!$I$28</f>
        <v>0</v>
      </c>
      <c r="AA119" s="64">
        <f>IF(Z119&lt;=1,0,Dashboard!$I$30-Y119)</f>
        <v>0</v>
      </c>
      <c r="AB119" s="64">
        <f t="shared" si="29"/>
        <v>0</v>
      </c>
      <c r="AC119" s="1">
        <f>Dashboard!$K$28</f>
        <v>2.6800000000000001E-2</v>
      </c>
      <c r="AD119" s="28">
        <f t="shared" si="30"/>
        <v>0</v>
      </c>
      <c r="AF119" s="2">
        <f t="shared" si="31"/>
        <v>154978.96169540586</v>
      </c>
      <c r="AG119" s="62">
        <f>(B119+Q119+Z119)/Dashboard!$I$25</f>
        <v>0.61991584678162348</v>
      </c>
      <c r="AH119" s="20">
        <f t="shared" si="32"/>
        <v>1.5E-3</v>
      </c>
      <c r="AI119" s="20">
        <f>IF($D$2="JA",Dashboard!$K$26-$AH$11+AH119,Dashboard!$K$26)</f>
        <v>2.5300000000000003E-2</v>
      </c>
      <c r="AJ119" s="27">
        <f>Tabel2[[#This Row],[Schuldrest]]*AI119/12</f>
        <v>326.74731090781404</v>
      </c>
      <c r="AK119" s="20">
        <f>IF($D$2="JA",Dashboard!$K$27-$AH$11+AH119,Dashboard!$K$27)</f>
        <v>2.5300000000000003E-2</v>
      </c>
      <c r="AL119" s="27">
        <f t="shared" si="18"/>
        <v>0</v>
      </c>
      <c r="AM119" s="20">
        <f>IF($D$2="JA",Dashboard!$K$28-$AH$11+AH119,Dashboard!$K$28)</f>
        <v>2.5300000000000003E-2</v>
      </c>
      <c r="AN119" s="27">
        <f t="shared" si="19"/>
        <v>0</v>
      </c>
      <c r="AO119" s="63">
        <f>Tabel2[[#This Row],[Aflossing]]+V119</f>
        <v>466.6544185816083</v>
      </c>
      <c r="AP119" s="63">
        <f t="shared" si="33"/>
        <v>326.74731090781404</v>
      </c>
      <c r="AQ119" s="2">
        <f t="shared" si="20"/>
        <v>347.93161054062949</v>
      </c>
      <c r="AU119" s="20"/>
      <c r="AV119" s="20"/>
    </row>
    <row r="120" spans="1:48">
      <c r="A120" s="71">
        <v>109</v>
      </c>
      <c r="B120" s="77">
        <f t="shared" si="21"/>
        <v>154512.30727682426</v>
      </c>
      <c r="C120" s="73">
        <f>B120/Dashboard!$I$25</f>
        <v>0.61804922910729698</v>
      </c>
      <c r="D120" s="74">
        <f t="shared" si="22"/>
        <v>1.5E-3</v>
      </c>
      <c r="E120" s="73">
        <f>IF($D$2="JA",Dashboard!$K$26-$D$11+D120,Dashboard!$K$26)</f>
        <v>2.5300000000000003E-2</v>
      </c>
      <c r="F120" s="72">
        <f t="shared" si="23"/>
        <v>325.76344784197119</v>
      </c>
      <c r="G120" s="72">
        <f t="shared" si="34"/>
        <v>467.63828164745127</v>
      </c>
      <c r="H120" s="72">
        <f>IFERROR(-PMT(E120^1/12,Dashboard!$I$30-A120,B120),0)</f>
        <v>793.40172948942245</v>
      </c>
      <c r="I120" s="75">
        <f t="shared" si="24"/>
        <v>793.40172948942245</v>
      </c>
      <c r="J120" s="76">
        <f t="shared" si="35"/>
        <v>155329.11914436455</v>
      </c>
      <c r="K120" s="76">
        <f>J120*Dashboard!$K$26/12</f>
        <v>346.90169942241414</v>
      </c>
      <c r="L120" s="76">
        <f t="shared" si="25"/>
        <v>462.18414315494101</v>
      </c>
      <c r="M120" s="76">
        <f>IF(H120=0,0,IFERROR(-PMT(Dashboard!$K$26^1/12,Dashboard!$I$30,Dashboard!$I$26),0))</f>
        <v>809.08584257735515</v>
      </c>
      <c r="P120" s="59">
        <v>109</v>
      </c>
      <c r="Q120" s="28">
        <f t="shared" si="26"/>
        <v>0</v>
      </c>
      <c r="R120" s="20">
        <f>Q120/Dashboard!$I$25</f>
        <v>0</v>
      </c>
      <c r="S120" s="20">
        <f t="shared" si="27"/>
        <v>0</v>
      </c>
      <c r="T120" s="20">
        <f>IF($D$2="JA",Dashboard!$K$27-$S$11+S120,Dashboard!$K$27)</f>
        <v>2.6800000000000001E-2</v>
      </c>
      <c r="U120" s="27">
        <f t="shared" si="28"/>
        <v>0</v>
      </c>
      <c r="V120" s="26">
        <f>IF(Q120&lt;=1,0,Dashboard!$I$27/Dashboard!$I$30)</f>
        <v>0</v>
      </c>
      <c r="W120" s="28">
        <f>Q120*Dashboard!$K$27/12</f>
        <v>0</v>
      </c>
      <c r="Y120" s="59">
        <v>109</v>
      </c>
      <c r="Z120" s="67">
        <f>Dashboard!$I$28</f>
        <v>0</v>
      </c>
      <c r="AA120" s="64">
        <f>IF(Z120&lt;=1,0,Dashboard!$I$30-Y120)</f>
        <v>0</v>
      </c>
      <c r="AB120" s="64">
        <f t="shared" si="29"/>
        <v>0</v>
      </c>
      <c r="AC120" s="1">
        <f>Dashboard!$K$28</f>
        <v>2.6800000000000001E-2</v>
      </c>
      <c r="AD120" s="28">
        <f t="shared" si="30"/>
        <v>0</v>
      </c>
      <c r="AF120" s="2">
        <f t="shared" si="31"/>
        <v>154512.30727682426</v>
      </c>
      <c r="AG120" s="62">
        <f>(B120+Q120+Z120)/Dashboard!$I$25</f>
        <v>0.61804922910729698</v>
      </c>
      <c r="AH120" s="20">
        <f t="shared" si="32"/>
        <v>1.5E-3</v>
      </c>
      <c r="AI120" s="20">
        <f>IF($D$2="JA",Dashboard!$K$26-$AH$11+AH120,Dashboard!$K$26)</f>
        <v>2.5300000000000003E-2</v>
      </c>
      <c r="AJ120" s="27">
        <f>Tabel2[[#This Row],[Schuldrest]]*AI120/12</f>
        <v>325.76344784197119</v>
      </c>
      <c r="AK120" s="20">
        <f>IF($D$2="JA",Dashboard!$K$27-$AH$11+AH120,Dashboard!$K$27)</f>
        <v>2.5300000000000003E-2</v>
      </c>
      <c r="AL120" s="27">
        <f t="shared" si="18"/>
        <v>0</v>
      </c>
      <c r="AM120" s="20">
        <f>IF($D$2="JA",Dashboard!$K$28-$AH$11+AH120,Dashboard!$K$28)</f>
        <v>2.5300000000000003E-2</v>
      </c>
      <c r="AN120" s="27">
        <f t="shared" si="19"/>
        <v>0</v>
      </c>
      <c r="AO120" s="63">
        <f>Tabel2[[#This Row],[Aflossing]]+V120</f>
        <v>467.63828164745127</v>
      </c>
      <c r="AP120" s="63">
        <f t="shared" si="33"/>
        <v>325.76344784197119</v>
      </c>
      <c r="AQ120" s="2">
        <f t="shared" si="20"/>
        <v>346.90169942241414</v>
      </c>
      <c r="AU120" s="20"/>
      <c r="AV120" s="20"/>
    </row>
    <row r="121" spans="1:48">
      <c r="A121" s="71">
        <v>110</v>
      </c>
      <c r="B121" s="77">
        <f t="shared" si="21"/>
        <v>154044.66899517679</v>
      </c>
      <c r="C121" s="73">
        <f>B121/Dashboard!$I$25</f>
        <v>0.61617867598070719</v>
      </c>
      <c r="D121" s="74">
        <f t="shared" si="22"/>
        <v>1.5E-3</v>
      </c>
      <c r="E121" s="73">
        <f>IF($D$2="JA",Dashboard!$K$26-$D$11+D121,Dashboard!$K$26)</f>
        <v>2.5300000000000003E-2</v>
      </c>
      <c r="F121" s="72">
        <f t="shared" si="23"/>
        <v>324.7775104648311</v>
      </c>
      <c r="G121" s="72">
        <f t="shared" si="34"/>
        <v>468.62421902459124</v>
      </c>
      <c r="H121" s="72">
        <f>IFERROR(-PMT(E121^1/12,Dashboard!$I$30-A121,B121),0)</f>
        <v>793.40172948942234</v>
      </c>
      <c r="I121" s="75">
        <f t="shared" si="24"/>
        <v>793.40172948942234</v>
      </c>
      <c r="J121" s="76">
        <f t="shared" si="35"/>
        <v>154866.93500120961</v>
      </c>
      <c r="K121" s="76">
        <f>J121*Dashboard!$K$26/12</f>
        <v>345.86948816936814</v>
      </c>
      <c r="L121" s="76">
        <f t="shared" si="25"/>
        <v>463.21635440798701</v>
      </c>
      <c r="M121" s="76">
        <f>IF(H121=0,0,IFERROR(-PMT(Dashboard!$K$26^1/12,Dashboard!$I$30,Dashboard!$I$26),0))</f>
        <v>809.08584257735515</v>
      </c>
      <c r="P121" s="59">
        <v>110</v>
      </c>
      <c r="Q121" s="28">
        <f t="shared" si="26"/>
        <v>0</v>
      </c>
      <c r="R121" s="20">
        <f>Q121/Dashboard!$I$25</f>
        <v>0</v>
      </c>
      <c r="S121" s="20">
        <f t="shared" si="27"/>
        <v>0</v>
      </c>
      <c r="T121" s="20">
        <f>IF($D$2="JA",Dashboard!$K$27-$S$11+S121,Dashboard!$K$27)</f>
        <v>2.6800000000000001E-2</v>
      </c>
      <c r="U121" s="27">
        <f t="shared" si="28"/>
        <v>0</v>
      </c>
      <c r="V121" s="26">
        <f>IF(Q121&lt;=1,0,Dashboard!$I$27/Dashboard!$I$30)</f>
        <v>0</v>
      </c>
      <c r="W121" s="28">
        <f>Q121*Dashboard!$K$27/12</f>
        <v>0</v>
      </c>
      <c r="Y121" s="59">
        <v>110</v>
      </c>
      <c r="Z121" s="67">
        <f>Dashboard!$I$28</f>
        <v>0</v>
      </c>
      <c r="AA121" s="64">
        <f>IF(Z121&lt;=1,0,Dashboard!$I$30-Y121)</f>
        <v>0</v>
      </c>
      <c r="AB121" s="64">
        <f t="shared" si="29"/>
        <v>0</v>
      </c>
      <c r="AC121" s="1">
        <f>Dashboard!$K$28</f>
        <v>2.6800000000000001E-2</v>
      </c>
      <c r="AD121" s="28">
        <f t="shared" si="30"/>
        <v>0</v>
      </c>
      <c r="AF121" s="2">
        <f t="shared" si="31"/>
        <v>154044.66899517679</v>
      </c>
      <c r="AG121" s="62">
        <f>(B121+Q121+Z121)/Dashboard!$I$25</f>
        <v>0.61617867598070719</v>
      </c>
      <c r="AH121" s="20">
        <f t="shared" si="32"/>
        <v>1.5E-3</v>
      </c>
      <c r="AI121" s="20">
        <f>IF($D$2="JA",Dashboard!$K$26-$AH$11+AH121,Dashboard!$K$26)</f>
        <v>2.5300000000000003E-2</v>
      </c>
      <c r="AJ121" s="27">
        <f>Tabel2[[#This Row],[Schuldrest]]*AI121/12</f>
        <v>324.7775104648311</v>
      </c>
      <c r="AK121" s="20">
        <f>IF($D$2="JA",Dashboard!$K$27-$AH$11+AH121,Dashboard!$K$27)</f>
        <v>2.5300000000000003E-2</v>
      </c>
      <c r="AL121" s="27">
        <f t="shared" si="18"/>
        <v>0</v>
      </c>
      <c r="AM121" s="20">
        <f>IF($D$2="JA",Dashboard!$K$28-$AH$11+AH121,Dashboard!$K$28)</f>
        <v>2.5300000000000003E-2</v>
      </c>
      <c r="AN121" s="27">
        <f t="shared" si="19"/>
        <v>0</v>
      </c>
      <c r="AO121" s="63">
        <f>Tabel2[[#This Row],[Aflossing]]+V121</f>
        <v>468.62421902459124</v>
      </c>
      <c r="AP121" s="63">
        <f t="shared" si="33"/>
        <v>324.7775104648311</v>
      </c>
      <c r="AQ121" s="2">
        <f t="shared" si="20"/>
        <v>345.86948816936814</v>
      </c>
      <c r="AU121" s="20"/>
      <c r="AV121" s="20"/>
    </row>
    <row r="122" spans="1:48">
      <c r="A122" s="71">
        <v>111</v>
      </c>
      <c r="B122" s="77">
        <f t="shared" si="21"/>
        <v>153576.04477615221</v>
      </c>
      <c r="C122" s="73">
        <f>B122/Dashboard!$I$25</f>
        <v>0.61430417910460888</v>
      </c>
      <c r="D122" s="74">
        <f t="shared" si="22"/>
        <v>1.5E-3</v>
      </c>
      <c r="E122" s="73">
        <f>IF($D$2="JA",Dashboard!$K$26-$D$11+D122,Dashboard!$K$26)</f>
        <v>2.5300000000000003E-2</v>
      </c>
      <c r="F122" s="72">
        <f t="shared" si="23"/>
        <v>323.78949440305428</v>
      </c>
      <c r="G122" s="72">
        <f t="shared" si="34"/>
        <v>469.61223508636795</v>
      </c>
      <c r="H122" s="72">
        <f>IFERROR(-PMT(E122^1/12,Dashboard!$I$30-A122,B122),0)</f>
        <v>793.40172948942222</v>
      </c>
      <c r="I122" s="75">
        <f t="shared" si="24"/>
        <v>793.40172948942222</v>
      </c>
      <c r="J122" s="76">
        <f t="shared" si="35"/>
        <v>154403.71864680163</v>
      </c>
      <c r="K122" s="76">
        <f>J122*Dashboard!$K$26/12</f>
        <v>344.83497164452365</v>
      </c>
      <c r="L122" s="76">
        <f t="shared" si="25"/>
        <v>464.2508709328315</v>
      </c>
      <c r="M122" s="76">
        <f>IF(H122=0,0,IFERROR(-PMT(Dashboard!$K$26^1/12,Dashboard!$I$30,Dashboard!$I$26),0))</f>
        <v>809.08584257735515</v>
      </c>
      <c r="P122" s="59">
        <v>111</v>
      </c>
      <c r="Q122" s="28">
        <f t="shared" si="26"/>
        <v>0</v>
      </c>
      <c r="R122" s="20">
        <f>Q122/Dashboard!$I$25</f>
        <v>0</v>
      </c>
      <c r="S122" s="20">
        <f t="shared" si="27"/>
        <v>0</v>
      </c>
      <c r="T122" s="20">
        <f>IF($D$2="JA",Dashboard!$K$27-$S$11+S122,Dashboard!$K$27)</f>
        <v>2.6800000000000001E-2</v>
      </c>
      <c r="U122" s="27">
        <f t="shared" si="28"/>
        <v>0</v>
      </c>
      <c r="V122" s="26">
        <f>IF(Q122&lt;=1,0,Dashboard!$I$27/Dashboard!$I$30)</f>
        <v>0</v>
      </c>
      <c r="W122" s="28">
        <f>Q122*Dashboard!$K$27/12</f>
        <v>0</v>
      </c>
      <c r="Y122" s="59">
        <v>111</v>
      </c>
      <c r="Z122" s="67">
        <f>Dashboard!$I$28</f>
        <v>0</v>
      </c>
      <c r="AA122" s="64">
        <f>IF(Z122&lt;=1,0,Dashboard!$I$30-Y122)</f>
        <v>0</v>
      </c>
      <c r="AB122" s="64">
        <f t="shared" si="29"/>
        <v>0</v>
      </c>
      <c r="AC122" s="1">
        <f>Dashboard!$K$28</f>
        <v>2.6800000000000001E-2</v>
      </c>
      <c r="AD122" s="28">
        <f t="shared" si="30"/>
        <v>0</v>
      </c>
      <c r="AF122" s="2">
        <f t="shared" si="31"/>
        <v>153576.04477615221</v>
      </c>
      <c r="AG122" s="62">
        <f>(B122+Q122+Z122)/Dashboard!$I$25</f>
        <v>0.61430417910460888</v>
      </c>
      <c r="AH122" s="20">
        <f t="shared" si="32"/>
        <v>1.5E-3</v>
      </c>
      <c r="AI122" s="20">
        <f>IF($D$2="JA",Dashboard!$K$26-$AH$11+AH122,Dashboard!$K$26)</f>
        <v>2.5300000000000003E-2</v>
      </c>
      <c r="AJ122" s="27">
        <f>Tabel2[[#This Row],[Schuldrest]]*AI122/12</f>
        <v>323.78949440305428</v>
      </c>
      <c r="AK122" s="20">
        <f>IF($D$2="JA",Dashboard!$K$27-$AH$11+AH122,Dashboard!$K$27)</f>
        <v>2.5300000000000003E-2</v>
      </c>
      <c r="AL122" s="27">
        <f t="shared" si="18"/>
        <v>0</v>
      </c>
      <c r="AM122" s="20">
        <f>IF($D$2="JA",Dashboard!$K$28-$AH$11+AH122,Dashboard!$K$28)</f>
        <v>2.5300000000000003E-2</v>
      </c>
      <c r="AN122" s="27">
        <f t="shared" si="19"/>
        <v>0</v>
      </c>
      <c r="AO122" s="63">
        <f>Tabel2[[#This Row],[Aflossing]]+V122</f>
        <v>469.61223508636795</v>
      </c>
      <c r="AP122" s="63">
        <f t="shared" si="33"/>
        <v>323.78949440305428</v>
      </c>
      <c r="AQ122" s="2">
        <f t="shared" si="20"/>
        <v>344.83497164452365</v>
      </c>
      <c r="AU122" s="20"/>
      <c r="AV122" s="20"/>
    </row>
    <row r="123" spans="1:48">
      <c r="A123" s="71">
        <v>112</v>
      </c>
      <c r="B123" s="77">
        <f t="shared" si="21"/>
        <v>153106.43254106585</v>
      </c>
      <c r="C123" s="73">
        <f>B123/Dashboard!$I$25</f>
        <v>0.61242573016426338</v>
      </c>
      <c r="D123" s="74">
        <f t="shared" si="22"/>
        <v>1.5E-3</v>
      </c>
      <c r="E123" s="73">
        <f>IF($D$2="JA",Dashboard!$K$26-$D$11+D123,Dashboard!$K$26)</f>
        <v>2.5300000000000003E-2</v>
      </c>
      <c r="F123" s="72">
        <f t="shared" si="23"/>
        <v>322.79939527408055</v>
      </c>
      <c r="G123" s="72">
        <f t="shared" si="34"/>
        <v>470.6023342153419</v>
      </c>
      <c r="H123" s="72">
        <f>IFERROR(-PMT(E123^1/12,Dashboard!$I$30-A123,B123),0)</f>
        <v>793.40172948942245</v>
      </c>
      <c r="I123" s="75">
        <f t="shared" si="24"/>
        <v>793.40172948942245</v>
      </c>
      <c r="J123" s="76">
        <f t="shared" si="35"/>
        <v>153939.4677758688</v>
      </c>
      <c r="K123" s="76">
        <f>J123*Dashboard!$K$26/12</f>
        <v>343.79814469944034</v>
      </c>
      <c r="L123" s="76">
        <f t="shared" si="25"/>
        <v>465.28769787791481</v>
      </c>
      <c r="M123" s="76">
        <f>IF(H123=0,0,IFERROR(-PMT(Dashboard!$K$26^1/12,Dashboard!$I$30,Dashboard!$I$26),0))</f>
        <v>809.08584257735515</v>
      </c>
      <c r="P123" s="59">
        <v>112</v>
      </c>
      <c r="Q123" s="28">
        <f t="shared" si="26"/>
        <v>0</v>
      </c>
      <c r="R123" s="20">
        <f>Q123/Dashboard!$I$25</f>
        <v>0</v>
      </c>
      <c r="S123" s="20">
        <f t="shared" si="27"/>
        <v>0</v>
      </c>
      <c r="T123" s="20">
        <f>IF($D$2="JA",Dashboard!$K$27-$S$11+S123,Dashboard!$K$27)</f>
        <v>2.6800000000000001E-2</v>
      </c>
      <c r="U123" s="27">
        <f t="shared" si="28"/>
        <v>0</v>
      </c>
      <c r="V123" s="26">
        <f>IF(Q123&lt;=1,0,Dashboard!$I$27/Dashboard!$I$30)</f>
        <v>0</v>
      </c>
      <c r="W123" s="28">
        <f>Q123*Dashboard!$K$27/12</f>
        <v>0</v>
      </c>
      <c r="Y123" s="59">
        <v>112</v>
      </c>
      <c r="Z123" s="67">
        <f>Dashboard!$I$28</f>
        <v>0</v>
      </c>
      <c r="AA123" s="64">
        <f>IF(Z123&lt;=1,0,Dashboard!$I$30-Y123)</f>
        <v>0</v>
      </c>
      <c r="AB123" s="64">
        <f t="shared" si="29"/>
        <v>0</v>
      </c>
      <c r="AC123" s="1">
        <f>Dashboard!$K$28</f>
        <v>2.6800000000000001E-2</v>
      </c>
      <c r="AD123" s="28">
        <f t="shared" si="30"/>
        <v>0</v>
      </c>
      <c r="AF123" s="2">
        <f t="shared" si="31"/>
        <v>153106.43254106585</v>
      </c>
      <c r="AG123" s="62">
        <f>(B123+Q123+Z123)/Dashboard!$I$25</f>
        <v>0.61242573016426338</v>
      </c>
      <c r="AH123" s="20">
        <f t="shared" si="32"/>
        <v>1.5E-3</v>
      </c>
      <c r="AI123" s="20">
        <f>IF($D$2="JA",Dashboard!$K$26-$AH$11+AH123,Dashboard!$K$26)</f>
        <v>2.5300000000000003E-2</v>
      </c>
      <c r="AJ123" s="27">
        <f>Tabel2[[#This Row],[Schuldrest]]*AI123/12</f>
        <v>322.79939527408055</v>
      </c>
      <c r="AK123" s="20">
        <f>IF($D$2="JA",Dashboard!$K$27-$AH$11+AH123,Dashboard!$K$27)</f>
        <v>2.5300000000000003E-2</v>
      </c>
      <c r="AL123" s="27">
        <f t="shared" si="18"/>
        <v>0</v>
      </c>
      <c r="AM123" s="20">
        <f>IF($D$2="JA",Dashboard!$K$28-$AH$11+AH123,Dashboard!$K$28)</f>
        <v>2.5300000000000003E-2</v>
      </c>
      <c r="AN123" s="27">
        <f t="shared" si="19"/>
        <v>0</v>
      </c>
      <c r="AO123" s="63">
        <f>Tabel2[[#This Row],[Aflossing]]+V123</f>
        <v>470.6023342153419</v>
      </c>
      <c r="AP123" s="63">
        <f t="shared" si="33"/>
        <v>322.79939527408055</v>
      </c>
      <c r="AQ123" s="2">
        <f t="shared" si="20"/>
        <v>343.79814469944034</v>
      </c>
      <c r="AU123" s="20"/>
      <c r="AV123" s="20"/>
    </row>
    <row r="124" spans="1:48">
      <c r="A124" s="71">
        <v>113</v>
      </c>
      <c r="B124" s="77">
        <f t="shared" si="21"/>
        <v>152635.83020685051</v>
      </c>
      <c r="C124" s="73">
        <f>B124/Dashboard!$I$25</f>
        <v>0.61054332082740204</v>
      </c>
      <c r="D124" s="74">
        <f t="shared" si="22"/>
        <v>1.5E-3</v>
      </c>
      <c r="E124" s="73">
        <f>IF($D$2="JA",Dashboard!$K$26-$D$11+D124,Dashboard!$K$26)</f>
        <v>2.5300000000000003E-2</v>
      </c>
      <c r="F124" s="72">
        <f t="shared" si="23"/>
        <v>321.80720868610985</v>
      </c>
      <c r="G124" s="72">
        <f t="shared" si="34"/>
        <v>471.59452080331261</v>
      </c>
      <c r="H124" s="72">
        <f>IFERROR(-PMT(E124^1/12,Dashboard!$I$30-A124,B124),0)</f>
        <v>793.40172948942245</v>
      </c>
      <c r="I124" s="75">
        <f t="shared" si="24"/>
        <v>793.40172948942245</v>
      </c>
      <c r="J124" s="76">
        <f t="shared" si="35"/>
        <v>153474.1800779909</v>
      </c>
      <c r="K124" s="76">
        <f>J124*Dashboard!$K$26/12</f>
        <v>342.75900217417967</v>
      </c>
      <c r="L124" s="76">
        <f t="shared" si="25"/>
        <v>466.32684040317548</v>
      </c>
      <c r="M124" s="76">
        <f>IF(H124=0,0,IFERROR(-PMT(Dashboard!$K$26^1/12,Dashboard!$I$30,Dashboard!$I$26),0))</f>
        <v>809.08584257735515</v>
      </c>
      <c r="P124" s="59">
        <v>113</v>
      </c>
      <c r="Q124" s="28">
        <f t="shared" si="26"/>
        <v>0</v>
      </c>
      <c r="R124" s="20">
        <f>Q124/Dashboard!$I$25</f>
        <v>0</v>
      </c>
      <c r="S124" s="20">
        <f t="shared" si="27"/>
        <v>0</v>
      </c>
      <c r="T124" s="20">
        <f>IF($D$2="JA",Dashboard!$K$27-$S$11+S124,Dashboard!$K$27)</f>
        <v>2.6800000000000001E-2</v>
      </c>
      <c r="U124" s="27">
        <f t="shared" si="28"/>
        <v>0</v>
      </c>
      <c r="V124" s="26">
        <f>IF(Q124&lt;=1,0,Dashboard!$I$27/Dashboard!$I$30)</f>
        <v>0</v>
      </c>
      <c r="W124" s="28">
        <f>Q124*Dashboard!$K$27/12</f>
        <v>0</v>
      </c>
      <c r="Y124" s="59">
        <v>113</v>
      </c>
      <c r="Z124" s="67">
        <f>Dashboard!$I$28</f>
        <v>0</v>
      </c>
      <c r="AA124" s="64">
        <f>IF(Z124&lt;=1,0,Dashboard!$I$30-Y124)</f>
        <v>0</v>
      </c>
      <c r="AB124" s="64">
        <f t="shared" si="29"/>
        <v>0</v>
      </c>
      <c r="AC124" s="1">
        <f>Dashboard!$K$28</f>
        <v>2.6800000000000001E-2</v>
      </c>
      <c r="AD124" s="28">
        <f t="shared" si="30"/>
        <v>0</v>
      </c>
      <c r="AF124" s="2">
        <f t="shared" si="31"/>
        <v>152635.83020685051</v>
      </c>
      <c r="AG124" s="62">
        <f>(B124+Q124+Z124)/Dashboard!$I$25</f>
        <v>0.61054332082740204</v>
      </c>
      <c r="AH124" s="20">
        <f t="shared" si="32"/>
        <v>1.5E-3</v>
      </c>
      <c r="AI124" s="20">
        <f>IF($D$2="JA",Dashboard!$K$26-$AH$11+AH124,Dashboard!$K$26)</f>
        <v>2.5300000000000003E-2</v>
      </c>
      <c r="AJ124" s="27">
        <f>Tabel2[[#This Row],[Schuldrest]]*AI124/12</f>
        <v>321.80720868610985</v>
      </c>
      <c r="AK124" s="20">
        <f>IF($D$2="JA",Dashboard!$K$27-$AH$11+AH124,Dashboard!$K$27)</f>
        <v>2.5300000000000003E-2</v>
      </c>
      <c r="AL124" s="27">
        <f t="shared" si="18"/>
        <v>0</v>
      </c>
      <c r="AM124" s="20">
        <f>IF($D$2="JA",Dashboard!$K$28-$AH$11+AH124,Dashboard!$K$28)</f>
        <v>2.5300000000000003E-2</v>
      </c>
      <c r="AN124" s="27">
        <f t="shared" si="19"/>
        <v>0</v>
      </c>
      <c r="AO124" s="63">
        <f>Tabel2[[#This Row],[Aflossing]]+V124</f>
        <v>471.59452080331261</v>
      </c>
      <c r="AP124" s="63">
        <f t="shared" si="33"/>
        <v>321.80720868610985</v>
      </c>
      <c r="AQ124" s="2">
        <f t="shared" si="20"/>
        <v>342.75900217417967</v>
      </c>
      <c r="AU124" s="20"/>
      <c r="AV124" s="20"/>
    </row>
    <row r="125" spans="1:48">
      <c r="A125" s="71">
        <v>114</v>
      </c>
      <c r="B125" s="77">
        <f t="shared" si="21"/>
        <v>152164.23568604721</v>
      </c>
      <c r="C125" s="73">
        <f>B125/Dashboard!$I$25</f>
        <v>0.6086569427441888</v>
      </c>
      <c r="D125" s="74">
        <f t="shared" si="22"/>
        <v>1.5E-3</v>
      </c>
      <c r="E125" s="73">
        <f>IF($D$2="JA",Dashboard!$K$26-$D$11+D125,Dashboard!$K$26)</f>
        <v>2.5300000000000003E-2</v>
      </c>
      <c r="F125" s="72">
        <f t="shared" si="23"/>
        <v>320.81293023808291</v>
      </c>
      <c r="G125" s="72">
        <f t="shared" si="34"/>
        <v>472.58879925133954</v>
      </c>
      <c r="H125" s="72">
        <f>IFERROR(-PMT(E125^1/12,Dashboard!$I$30-A125,B125),0)</f>
        <v>793.40172948942245</v>
      </c>
      <c r="I125" s="75">
        <f t="shared" si="24"/>
        <v>793.40172948942245</v>
      </c>
      <c r="J125" s="76">
        <f t="shared" si="35"/>
        <v>153007.85323758773</v>
      </c>
      <c r="K125" s="76">
        <f>J125*Dashboard!$K$26/12</f>
        <v>341.71753889727921</v>
      </c>
      <c r="L125" s="76">
        <f t="shared" si="25"/>
        <v>467.36830368007594</v>
      </c>
      <c r="M125" s="76">
        <f>IF(H125=0,0,IFERROR(-PMT(Dashboard!$K$26^1/12,Dashboard!$I$30,Dashboard!$I$26),0))</f>
        <v>809.08584257735515</v>
      </c>
      <c r="P125" s="59">
        <v>114</v>
      </c>
      <c r="Q125" s="28">
        <f t="shared" si="26"/>
        <v>0</v>
      </c>
      <c r="R125" s="20">
        <f>Q125/Dashboard!$I$25</f>
        <v>0</v>
      </c>
      <c r="S125" s="20">
        <f t="shared" si="27"/>
        <v>0</v>
      </c>
      <c r="T125" s="20">
        <f>IF($D$2="JA",Dashboard!$K$27-$S$11+S125,Dashboard!$K$27)</f>
        <v>2.6800000000000001E-2</v>
      </c>
      <c r="U125" s="27">
        <f t="shared" si="28"/>
        <v>0</v>
      </c>
      <c r="V125" s="26">
        <f>IF(Q125&lt;=1,0,Dashboard!$I$27/Dashboard!$I$30)</f>
        <v>0</v>
      </c>
      <c r="W125" s="28">
        <f>Q125*Dashboard!$K$27/12</f>
        <v>0</v>
      </c>
      <c r="Y125" s="59">
        <v>114</v>
      </c>
      <c r="Z125" s="67">
        <f>Dashboard!$I$28</f>
        <v>0</v>
      </c>
      <c r="AA125" s="64">
        <f>IF(Z125&lt;=1,0,Dashboard!$I$30-Y125)</f>
        <v>0</v>
      </c>
      <c r="AB125" s="64">
        <f t="shared" si="29"/>
        <v>0</v>
      </c>
      <c r="AC125" s="1">
        <f>Dashboard!$K$28</f>
        <v>2.6800000000000001E-2</v>
      </c>
      <c r="AD125" s="28">
        <f t="shared" si="30"/>
        <v>0</v>
      </c>
      <c r="AF125" s="2">
        <f t="shared" si="31"/>
        <v>152164.23568604721</v>
      </c>
      <c r="AG125" s="62">
        <f>(B125+Q125+Z125)/Dashboard!$I$25</f>
        <v>0.6086569427441888</v>
      </c>
      <c r="AH125" s="20">
        <f t="shared" si="32"/>
        <v>1.5E-3</v>
      </c>
      <c r="AI125" s="20">
        <f>IF($D$2="JA",Dashboard!$K$26-$AH$11+AH125,Dashboard!$K$26)</f>
        <v>2.5300000000000003E-2</v>
      </c>
      <c r="AJ125" s="27">
        <f>Tabel2[[#This Row],[Schuldrest]]*AI125/12</f>
        <v>320.81293023808291</v>
      </c>
      <c r="AK125" s="20">
        <f>IF($D$2="JA",Dashboard!$K$27-$AH$11+AH125,Dashboard!$K$27)</f>
        <v>2.5300000000000003E-2</v>
      </c>
      <c r="AL125" s="27">
        <f t="shared" si="18"/>
        <v>0</v>
      </c>
      <c r="AM125" s="20">
        <f>IF($D$2="JA",Dashboard!$K$28-$AH$11+AH125,Dashboard!$K$28)</f>
        <v>2.5300000000000003E-2</v>
      </c>
      <c r="AN125" s="27">
        <f t="shared" si="19"/>
        <v>0</v>
      </c>
      <c r="AO125" s="63">
        <f>Tabel2[[#This Row],[Aflossing]]+V125</f>
        <v>472.58879925133954</v>
      </c>
      <c r="AP125" s="63">
        <f t="shared" si="33"/>
        <v>320.81293023808291</v>
      </c>
      <c r="AQ125" s="2">
        <f t="shared" si="20"/>
        <v>341.71753889727921</v>
      </c>
      <c r="AU125" s="20"/>
      <c r="AV125" s="20"/>
    </row>
    <row r="126" spans="1:48">
      <c r="A126" s="71">
        <v>115</v>
      </c>
      <c r="B126" s="77">
        <f t="shared" si="21"/>
        <v>151691.64688679588</v>
      </c>
      <c r="C126" s="73">
        <f>B126/Dashboard!$I$25</f>
        <v>0.60676658754718349</v>
      </c>
      <c r="D126" s="74">
        <f t="shared" si="22"/>
        <v>1.5E-3</v>
      </c>
      <c r="E126" s="73">
        <f>IF($D$2="JA",Dashboard!$K$26-$D$11+D126,Dashboard!$K$26)</f>
        <v>2.5300000000000003E-2</v>
      </c>
      <c r="F126" s="72">
        <f t="shared" si="23"/>
        <v>319.81655551966134</v>
      </c>
      <c r="G126" s="72">
        <f t="shared" si="34"/>
        <v>473.58517396976146</v>
      </c>
      <c r="H126" s="72">
        <f>IFERROR(-PMT(E126^1/12,Dashboard!$I$30-A126,B126),0)</f>
        <v>793.40172948942279</v>
      </c>
      <c r="I126" s="75">
        <f t="shared" si="24"/>
        <v>793.40172948942279</v>
      </c>
      <c r="J126" s="76">
        <f t="shared" si="35"/>
        <v>152540.48493390766</v>
      </c>
      <c r="K126" s="76">
        <f>J126*Dashboard!$K$26/12</f>
        <v>340.6737496857271</v>
      </c>
      <c r="L126" s="76">
        <f t="shared" si="25"/>
        <v>468.41209289162805</v>
      </c>
      <c r="M126" s="76">
        <f>IF(H126=0,0,IFERROR(-PMT(Dashboard!$K$26^1/12,Dashboard!$I$30,Dashboard!$I$26),0))</f>
        <v>809.08584257735515</v>
      </c>
      <c r="P126" s="59">
        <v>115</v>
      </c>
      <c r="Q126" s="28">
        <f t="shared" si="26"/>
        <v>0</v>
      </c>
      <c r="R126" s="20">
        <f>Q126/Dashboard!$I$25</f>
        <v>0</v>
      </c>
      <c r="S126" s="20">
        <f t="shared" si="27"/>
        <v>0</v>
      </c>
      <c r="T126" s="20">
        <f>IF($D$2="JA",Dashboard!$K$27-$S$11+S126,Dashboard!$K$27)</f>
        <v>2.6800000000000001E-2</v>
      </c>
      <c r="U126" s="27">
        <f t="shared" si="28"/>
        <v>0</v>
      </c>
      <c r="V126" s="26">
        <f>IF(Q126&lt;=1,0,Dashboard!$I$27/Dashboard!$I$30)</f>
        <v>0</v>
      </c>
      <c r="W126" s="28">
        <f>Q126*Dashboard!$K$27/12</f>
        <v>0</v>
      </c>
      <c r="Y126" s="59">
        <v>115</v>
      </c>
      <c r="Z126" s="67">
        <f>Dashboard!$I$28</f>
        <v>0</v>
      </c>
      <c r="AA126" s="64">
        <f>IF(Z126&lt;=1,0,Dashboard!$I$30-Y126)</f>
        <v>0</v>
      </c>
      <c r="AB126" s="64">
        <f t="shared" si="29"/>
        <v>0</v>
      </c>
      <c r="AC126" s="1">
        <f>Dashboard!$K$28</f>
        <v>2.6800000000000001E-2</v>
      </c>
      <c r="AD126" s="28">
        <f t="shared" si="30"/>
        <v>0</v>
      </c>
      <c r="AF126" s="2">
        <f t="shared" si="31"/>
        <v>151691.64688679588</v>
      </c>
      <c r="AG126" s="62">
        <f>(B126+Q126+Z126)/Dashboard!$I$25</f>
        <v>0.60676658754718349</v>
      </c>
      <c r="AH126" s="20">
        <f t="shared" si="32"/>
        <v>1.5E-3</v>
      </c>
      <c r="AI126" s="20">
        <f>IF($D$2="JA",Dashboard!$K$26-$AH$11+AH126,Dashboard!$K$26)</f>
        <v>2.5300000000000003E-2</v>
      </c>
      <c r="AJ126" s="27">
        <f>Tabel2[[#This Row],[Schuldrest]]*AI126/12</f>
        <v>319.81655551966134</v>
      </c>
      <c r="AK126" s="20">
        <f>IF($D$2="JA",Dashboard!$K$27-$AH$11+AH126,Dashboard!$K$27)</f>
        <v>2.5300000000000003E-2</v>
      </c>
      <c r="AL126" s="27">
        <f t="shared" si="18"/>
        <v>0</v>
      </c>
      <c r="AM126" s="20">
        <f>IF($D$2="JA",Dashboard!$K$28-$AH$11+AH126,Dashboard!$K$28)</f>
        <v>2.5300000000000003E-2</v>
      </c>
      <c r="AN126" s="27">
        <f t="shared" si="19"/>
        <v>0</v>
      </c>
      <c r="AO126" s="63">
        <f>Tabel2[[#This Row],[Aflossing]]+V126</f>
        <v>473.58517396976146</v>
      </c>
      <c r="AP126" s="63">
        <f t="shared" si="33"/>
        <v>319.81655551966134</v>
      </c>
      <c r="AQ126" s="2">
        <f t="shared" si="20"/>
        <v>340.6737496857271</v>
      </c>
      <c r="AU126" s="20"/>
      <c r="AV126" s="20"/>
    </row>
    <row r="127" spans="1:48">
      <c r="A127" s="71">
        <v>116</v>
      </c>
      <c r="B127" s="77">
        <f t="shared" si="21"/>
        <v>151218.06171282611</v>
      </c>
      <c r="C127" s="73">
        <f>B127/Dashboard!$I$25</f>
        <v>0.60487224685130447</v>
      </c>
      <c r="D127" s="74">
        <f t="shared" si="22"/>
        <v>1.5E-3</v>
      </c>
      <c r="E127" s="73">
        <f>IF($D$2="JA",Dashboard!$K$26-$D$11+D127,Dashboard!$K$26)</f>
        <v>2.5300000000000003E-2</v>
      </c>
      <c r="F127" s="72">
        <f t="shared" si="23"/>
        <v>318.81808011120842</v>
      </c>
      <c r="G127" s="72">
        <f t="shared" si="34"/>
        <v>474.58364937821403</v>
      </c>
      <c r="H127" s="72">
        <f>IFERROR(-PMT(E127^1/12,Dashboard!$I$30-A127,B127),0)</f>
        <v>793.40172948942245</v>
      </c>
      <c r="I127" s="75">
        <f t="shared" si="24"/>
        <v>793.40172948942245</v>
      </c>
      <c r="J127" s="76">
        <f t="shared" si="35"/>
        <v>152072.07284101602</v>
      </c>
      <c r="K127" s="76">
        <f>J127*Dashboard!$K$26/12</f>
        <v>339.62762934493577</v>
      </c>
      <c r="L127" s="76">
        <f t="shared" si="25"/>
        <v>469.45821323241938</v>
      </c>
      <c r="M127" s="76">
        <f>IF(H127=0,0,IFERROR(-PMT(Dashboard!$K$26^1/12,Dashboard!$I$30,Dashboard!$I$26),0))</f>
        <v>809.08584257735515</v>
      </c>
      <c r="P127" s="59">
        <v>116</v>
      </c>
      <c r="Q127" s="28">
        <f t="shared" si="26"/>
        <v>0</v>
      </c>
      <c r="R127" s="20">
        <f>Q127/Dashboard!$I$25</f>
        <v>0</v>
      </c>
      <c r="S127" s="20">
        <f t="shared" si="27"/>
        <v>0</v>
      </c>
      <c r="T127" s="20">
        <f>IF($D$2="JA",Dashboard!$K$27-$S$11+S127,Dashboard!$K$27)</f>
        <v>2.6800000000000001E-2</v>
      </c>
      <c r="U127" s="27">
        <f t="shared" si="28"/>
        <v>0</v>
      </c>
      <c r="V127" s="26">
        <f>IF(Q127&lt;=1,0,Dashboard!$I$27/Dashboard!$I$30)</f>
        <v>0</v>
      </c>
      <c r="W127" s="28">
        <f>Q127*Dashboard!$K$27/12</f>
        <v>0</v>
      </c>
      <c r="Y127" s="59">
        <v>116</v>
      </c>
      <c r="Z127" s="67">
        <f>Dashboard!$I$28</f>
        <v>0</v>
      </c>
      <c r="AA127" s="64">
        <f>IF(Z127&lt;=1,0,Dashboard!$I$30-Y127)</f>
        <v>0</v>
      </c>
      <c r="AB127" s="64">
        <f t="shared" si="29"/>
        <v>0</v>
      </c>
      <c r="AC127" s="1">
        <f>Dashboard!$K$28</f>
        <v>2.6800000000000001E-2</v>
      </c>
      <c r="AD127" s="28">
        <f t="shared" si="30"/>
        <v>0</v>
      </c>
      <c r="AF127" s="2">
        <f t="shared" si="31"/>
        <v>151218.06171282611</v>
      </c>
      <c r="AG127" s="62">
        <f>(B127+Q127+Z127)/Dashboard!$I$25</f>
        <v>0.60487224685130447</v>
      </c>
      <c r="AH127" s="20">
        <f t="shared" si="32"/>
        <v>1.5E-3</v>
      </c>
      <c r="AI127" s="20">
        <f>IF($D$2="JA",Dashboard!$K$26-$AH$11+AH127,Dashboard!$K$26)</f>
        <v>2.5300000000000003E-2</v>
      </c>
      <c r="AJ127" s="27">
        <f>Tabel2[[#This Row],[Schuldrest]]*AI127/12</f>
        <v>318.81808011120842</v>
      </c>
      <c r="AK127" s="20">
        <f>IF($D$2="JA",Dashboard!$K$27-$AH$11+AH127,Dashboard!$K$27)</f>
        <v>2.5300000000000003E-2</v>
      </c>
      <c r="AL127" s="27">
        <f t="shared" si="18"/>
        <v>0</v>
      </c>
      <c r="AM127" s="20">
        <f>IF($D$2="JA",Dashboard!$K$28-$AH$11+AH127,Dashboard!$K$28)</f>
        <v>2.5300000000000003E-2</v>
      </c>
      <c r="AN127" s="27">
        <f t="shared" si="19"/>
        <v>0</v>
      </c>
      <c r="AO127" s="63">
        <f>Tabel2[[#This Row],[Aflossing]]+V127</f>
        <v>474.58364937821403</v>
      </c>
      <c r="AP127" s="63">
        <f t="shared" si="33"/>
        <v>318.81808011120842</v>
      </c>
      <c r="AQ127" s="2">
        <f t="shared" si="20"/>
        <v>339.62762934493577</v>
      </c>
      <c r="AU127" s="20"/>
      <c r="AV127" s="20"/>
    </row>
    <row r="128" spans="1:48">
      <c r="A128" s="71">
        <v>117</v>
      </c>
      <c r="B128" s="77">
        <f t="shared" si="21"/>
        <v>150743.4780634479</v>
      </c>
      <c r="C128" s="73">
        <f>B128/Dashboard!$I$25</f>
        <v>0.6029739122537916</v>
      </c>
      <c r="D128" s="74">
        <f t="shared" si="22"/>
        <v>1.5E-3</v>
      </c>
      <c r="E128" s="73">
        <f>IF($D$2="JA",Dashboard!$K$26-$D$11+D128,Dashboard!$K$26)</f>
        <v>2.5300000000000003E-2</v>
      </c>
      <c r="F128" s="72">
        <f t="shared" si="23"/>
        <v>317.81749958376935</v>
      </c>
      <c r="G128" s="72">
        <f t="shared" si="34"/>
        <v>475.58422990565322</v>
      </c>
      <c r="H128" s="72">
        <f>IFERROR(-PMT(E128^1/12,Dashboard!$I$30-A128,B128),0)</f>
        <v>793.40172948942256</v>
      </c>
      <c r="I128" s="75">
        <f t="shared" si="24"/>
        <v>793.40172948942256</v>
      </c>
      <c r="J128" s="76">
        <f t="shared" si="35"/>
        <v>151602.61462778359</v>
      </c>
      <c r="K128" s="76">
        <f>J128*Dashboard!$K$26/12</f>
        <v>338.57917266871669</v>
      </c>
      <c r="L128" s="76">
        <f t="shared" si="25"/>
        <v>470.50666990863846</v>
      </c>
      <c r="M128" s="76">
        <f>IF(H128=0,0,IFERROR(-PMT(Dashboard!$K$26^1/12,Dashboard!$I$30,Dashboard!$I$26),0))</f>
        <v>809.08584257735515</v>
      </c>
      <c r="P128" s="59">
        <v>117</v>
      </c>
      <c r="Q128" s="28">
        <f t="shared" si="26"/>
        <v>0</v>
      </c>
      <c r="R128" s="20">
        <f>Q128/Dashboard!$I$25</f>
        <v>0</v>
      </c>
      <c r="S128" s="20">
        <f t="shared" si="27"/>
        <v>0</v>
      </c>
      <c r="T128" s="20">
        <f>IF($D$2="JA",Dashboard!$K$27-$S$11+S128,Dashboard!$K$27)</f>
        <v>2.6800000000000001E-2</v>
      </c>
      <c r="U128" s="27">
        <f t="shared" si="28"/>
        <v>0</v>
      </c>
      <c r="V128" s="26">
        <f>IF(Q128&lt;=1,0,Dashboard!$I$27/Dashboard!$I$30)</f>
        <v>0</v>
      </c>
      <c r="W128" s="28">
        <f>Q128*Dashboard!$K$27/12</f>
        <v>0</v>
      </c>
      <c r="Y128" s="59">
        <v>117</v>
      </c>
      <c r="Z128" s="67">
        <f>Dashboard!$I$28</f>
        <v>0</v>
      </c>
      <c r="AA128" s="64">
        <f>IF(Z128&lt;=1,0,Dashboard!$I$30-Y128)</f>
        <v>0</v>
      </c>
      <c r="AB128" s="64">
        <f t="shared" si="29"/>
        <v>0</v>
      </c>
      <c r="AC128" s="1">
        <f>Dashboard!$K$28</f>
        <v>2.6800000000000001E-2</v>
      </c>
      <c r="AD128" s="28">
        <f t="shared" si="30"/>
        <v>0</v>
      </c>
      <c r="AF128" s="2">
        <f t="shared" si="31"/>
        <v>150743.4780634479</v>
      </c>
      <c r="AG128" s="62">
        <f>(B128+Q128+Z128)/Dashboard!$I$25</f>
        <v>0.6029739122537916</v>
      </c>
      <c r="AH128" s="20">
        <f t="shared" si="32"/>
        <v>1.5E-3</v>
      </c>
      <c r="AI128" s="20">
        <f>IF($D$2="JA",Dashboard!$K$26-$AH$11+AH128,Dashboard!$K$26)</f>
        <v>2.5300000000000003E-2</v>
      </c>
      <c r="AJ128" s="27">
        <f>Tabel2[[#This Row],[Schuldrest]]*AI128/12</f>
        <v>317.81749958376935</v>
      </c>
      <c r="AK128" s="20">
        <f>IF($D$2="JA",Dashboard!$K$27-$AH$11+AH128,Dashboard!$K$27)</f>
        <v>2.5300000000000003E-2</v>
      </c>
      <c r="AL128" s="27">
        <f t="shared" si="18"/>
        <v>0</v>
      </c>
      <c r="AM128" s="20">
        <f>IF($D$2="JA",Dashboard!$K$28-$AH$11+AH128,Dashboard!$K$28)</f>
        <v>2.5300000000000003E-2</v>
      </c>
      <c r="AN128" s="27">
        <f t="shared" si="19"/>
        <v>0</v>
      </c>
      <c r="AO128" s="63">
        <f>Tabel2[[#This Row],[Aflossing]]+V128</f>
        <v>475.58422990565322</v>
      </c>
      <c r="AP128" s="63">
        <f t="shared" si="33"/>
        <v>317.81749958376935</v>
      </c>
      <c r="AQ128" s="2">
        <f t="shared" si="20"/>
        <v>338.57917266871669</v>
      </c>
      <c r="AU128" s="20"/>
      <c r="AV128" s="20"/>
    </row>
    <row r="129" spans="1:48">
      <c r="A129" s="71">
        <v>118</v>
      </c>
      <c r="B129" s="77">
        <f t="shared" si="21"/>
        <v>150267.89383354224</v>
      </c>
      <c r="C129" s="73">
        <f>B129/Dashboard!$I$25</f>
        <v>0.60107157533416899</v>
      </c>
      <c r="D129" s="74">
        <f t="shared" si="22"/>
        <v>1.5E-3</v>
      </c>
      <c r="E129" s="73">
        <f>IF($D$2="JA",Dashboard!$K$26-$D$11+D129,Dashboard!$K$26)</f>
        <v>2.5300000000000003E-2</v>
      </c>
      <c r="F129" s="72">
        <f t="shared" si="23"/>
        <v>316.81480949905159</v>
      </c>
      <c r="G129" s="72">
        <f t="shared" si="34"/>
        <v>476.58691999037097</v>
      </c>
      <c r="H129" s="72">
        <f>IFERROR(-PMT(E129^1/12,Dashboard!$I$30-A129,B129),0)</f>
        <v>793.40172948942256</v>
      </c>
      <c r="I129" s="75">
        <f t="shared" si="24"/>
        <v>793.40172948942256</v>
      </c>
      <c r="J129" s="76">
        <f t="shared" si="35"/>
        <v>151132.10795787495</v>
      </c>
      <c r="K129" s="76">
        <f>J129*Dashboard!$K$26/12</f>
        <v>337.52837443925404</v>
      </c>
      <c r="L129" s="76">
        <f t="shared" si="25"/>
        <v>471.55746813810111</v>
      </c>
      <c r="M129" s="76">
        <f>IF(H129=0,0,IFERROR(-PMT(Dashboard!$K$26^1/12,Dashboard!$I$30,Dashboard!$I$26),0))</f>
        <v>809.08584257735515</v>
      </c>
      <c r="P129" s="59">
        <v>118</v>
      </c>
      <c r="Q129" s="28">
        <f t="shared" si="26"/>
        <v>0</v>
      </c>
      <c r="R129" s="20">
        <f>Q129/Dashboard!$I$25</f>
        <v>0</v>
      </c>
      <c r="S129" s="20">
        <f t="shared" si="27"/>
        <v>0</v>
      </c>
      <c r="T129" s="20">
        <f>IF($D$2="JA",Dashboard!$K$27-$S$11+S129,Dashboard!$K$27)</f>
        <v>2.6800000000000001E-2</v>
      </c>
      <c r="U129" s="27">
        <f t="shared" si="28"/>
        <v>0</v>
      </c>
      <c r="V129" s="26">
        <f>IF(Q129&lt;=1,0,Dashboard!$I$27/Dashboard!$I$30)</f>
        <v>0</v>
      </c>
      <c r="W129" s="28">
        <f>Q129*Dashboard!$K$27/12</f>
        <v>0</v>
      </c>
      <c r="Y129" s="59">
        <v>118</v>
      </c>
      <c r="Z129" s="67">
        <f>Dashboard!$I$28</f>
        <v>0</v>
      </c>
      <c r="AA129" s="64">
        <f>IF(Z129&lt;=1,0,Dashboard!$I$30-Y129)</f>
        <v>0</v>
      </c>
      <c r="AB129" s="64">
        <f t="shared" si="29"/>
        <v>0</v>
      </c>
      <c r="AC129" s="1">
        <f>Dashboard!$K$28</f>
        <v>2.6800000000000001E-2</v>
      </c>
      <c r="AD129" s="28">
        <f t="shared" si="30"/>
        <v>0</v>
      </c>
      <c r="AF129" s="2">
        <f t="shared" si="31"/>
        <v>150267.89383354224</v>
      </c>
      <c r="AG129" s="62">
        <f>(B129+Q129+Z129)/Dashboard!$I$25</f>
        <v>0.60107157533416899</v>
      </c>
      <c r="AH129" s="20">
        <f t="shared" si="32"/>
        <v>1.5E-3</v>
      </c>
      <c r="AI129" s="20">
        <f>IF($D$2="JA",Dashboard!$K$26-$AH$11+AH129,Dashboard!$K$26)</f>
        <v>2.5300000000000003E-2</v>
      </c>
      <c r="AJ129" s="27">
        <f>Tabel2[[#This Row],[Schuldrest]]*AI129/12</f>
        <v>316.81480949905159</v>
      </c>
      <c r="AK129" s="20">
        <f>IF($D$2="JA",Dashboard!$K$27-$AH$11+AH129,Dashboard!$K$27)</f>
        <v>2.5300000000000003E-2</v>
      </c>
      <c r="AL129" s="27">
        <f t="shared" si="18"/>
        <v>0</v>
      </c>
      <c r="AM129" s="20">
        <f>IF($D$2="JA",Dashboard!$K$28-$AH$11+AH129,Dashboard!$K$28)</f>
        <v>2.5300000000000003E-2</v>
      </c>
      <c r="AN129" s="27">
        <f t="shared" si="19"/>
        <v>0</v>
      </c>
      <c r="AO129" s="63">
        <f>Tabel2[[#This Row],[Aflossing]]+V129</f>
        <v>476.58691999037097</v>
      </c>
      <c r="AP129" s="63">
        <f t="shared" si="33"/>
        <v>316.81480949905159</v>
      </c>
      <c r="AQ129" s="2">
        <f t="shared" si="20"/>
        <v>337.52837443925404</v>
      </c>
      <c r="AU129" s="20"/>
      <c r="AV129" s="20"/>
    </row>
    <row r="130" spans="1:48">
      <c r="A130" s="71">
        <v>119</v>
      </c>
      <c r="B130" s="77">
        <f t="shared" si="21"/>
        <v>149791.30691355187</v>
      </c>
      <c r="C130" s="73">
        <f>B130/Dashboard!$I$25</f>
        <v>0.59916522765420754</v>
      </c>
      <c r="D130" s="74">
        <f t="shared" si="22"/>
        <v>0</v>
      </c>
      <c r="E130" s="73">
        <f>IF($D$2="JA",Dashboard!$K$26-$D$11+D130,Dashboard!$K$26)</f>
        <v>2.3800000000000002E-2</v>
      </c>
      <c r="F130" s="72">
        <f t="shared" si="23"/>
        <v>297.08609204521127</v>
      </c>
      <c r="G130" s="72">
        <f t="shared" si="34"/>
        <v>485.39091809734299</v>
      </c>
      <c r="H130" s="72">
        <f>IFERROR(-PMT(E130^1/12,Dashboard!$I$30-A130,B130),0)</f>
        <v>782.47701014255426</v>
      </c>
      <c r="I130" s="75">
        <f t="shared" si="24"/>
        <v>782.47701014255426</v>
      </c>
      <c r="J130" s="76">
        <f t="shared" si="35"/>
        <v>150660.55048973684</v>
      </c>
      <c r="K130" s="76">
        <f>J130*Dashboard!$K$26/12</f>
        <v>336.47522942707894</v>
      </c>
      <c r="L130" s="76">
        <f t="shared" si="25"/>
        <v>472.61061315027621</v>
      </c>
      <c r="M130" s="76">
        <f>IF(H130=0,0,IFERROR(-PMT(Dashboard!$K$26^1/12,Dashboard!$I$30,Dashboard!$I$26),0))</f>
        <v>809.08584257735515</v>
      </c>
      <c r="P130" s="59">
        <v>119</v>
      </c>
      <c r="Q130" s="28">
        <f t="shared" si="26"/>
        <v>0</v>
      </c>
      <c r="R130" s="20">
        <f>Q130/Dashboard!$I$25</f>
        <v>0</v>
      </c>
      <c r="S130" s="20">
        <f t="shared" si="27"/>
        <v>0</v>
      </c>
      <c r="T130" s="20">
        <f>IF($D$2="JA",Dashboard!$K$27-$S$11+S130,Dashboard!$K$27)</f>
        <v>2.6800000000000001E-2</v>
      </c>
      <c r="U130" s="27">
        <f t="shared" si="28"/>
        <v>0</v>
      </c>
      <c r="V130" s="26">
        <f>IF(Q130&lt;=1,0,Dashboard!$I$27/Dashboard!$I$30)</f>
        <v>0</v>
      </c>
      <c r="W130" s="28">
        <f>Q130*Dashboard!$K$27/12</f>
        <v>0</v>
      </c>
      <c r="Y130" s="59">
        <v>119</v>
      </c>
      <c r="Z130" s="67">
        <f>Dashboard!$I$28</f>
        <v>0</v>
      </c>
      <c r="AA130" s="64">
        <f>IF(Z130&lt;=1,0,Dashboard!$I$30-Y130)</f>
        <v>0</v>
      </c>
      <c r="AB130" s="64">
        <f t="shared" si="29"/>
        <v>0</v>
      </c>
      <c r="AC130" s="1">
        <f>Dashboard!$K$28</f>
        <v>2.6800000000000001E-2</v>
      </c>
      <c r="AD130" s="28">
        <f t="shared" si="30"/>
        <v>0</v>
      </c>
      <c r="AF130" s="2">
        <f t="shared" si="31"/>
        <v>149791.30691355187</v>
      </c>
      <c r="AG130" s="62">
        <f>(B130+Q130+Z130)/Dashboard!$I$25</f>
        <v>0.59916522765420754</v>
      </c>
      <c r="AH130" s="20">
        <f t="shared" si="32"/>
        <v>0</v>
      </c>
      <c r="AI130" s="20">
        <f>IF($D$2="JA",Dashboard!$K$26-$AH$11+AH130,Dashboard!$K$26)</f>
        <v>2.3800000000000002E-2</v>
      </c>
      <c r="AJ130" s="27">
        <f>Tabel2[[#This Row],[Schuldrest]]*AI130/12</f>
        <v>297.08609204521127</v>
      </c>
      <c r="AK130" s="20">
        <f>IF($D$2="JA",Dashboard!$K$27-$AH$11+AH130,Dashboard!$K$27)</f>
        <v>2.3800000000000002E-2</v>
      </c>
      <c r="AL130" s="27">
        <f t="shared" si="18"/>
        <v>0</v>
      </c>
      <c r="AM130" s="20">
        <f>IF($D$2="JA",Dashboard!$K$28-$AH$11+AH130,Dashboard!$K$28)</f>
        <v>2.3800000000000002E-2</v>
      </c>
      <c r="AN130" s="27">
        <f t="shared" si="19"/>
        <v>0</v>
      </c>
      <c r="AO130" s="63">
        <f>Tabel2[[#This Row],[Aflossing]]+V130</f>
        <v>485.39091809734299</v>
      </c>
      <c r="AP130" s="63">
        <f t="shared" si="33"/>
        <v>297.08609204521127</v>
      </c>
      <c r="AQ130" s="2">
        <f t="shared" si="20"/>
        <v>336.47522942707894</v>
      </c>
      <c r="AU130" s="20"/>
      <c r="AV130" s="20"/>
    </row>
    <row r="131" spans="1:48">
      <c r="A131" s="71">
        <v>120</v>
      </c>
      <c r="B131" s="77">
        <f t="shared" si="21"/>
        <v>149305.91599545453</v>
      </c>
      <c r="C131" s="73">
        <f>B131/Dashboard!$I$25</f>
        <v>0.59722366398181814</v>
      </c>
      <c r="D131" s="74">
        <f t="shared" si="22"/>
        <v>0</v>
      </c>
      <c r="E131" s="73">
        <f>IF($D$2="JA",Dashboard!$K$26-$D$11+D131,Dashboard!$K$26)</f>
        <v>2.3800000000000002E-2</v>
      </c>
      <c r="F131" s="72">
        <f t="shared" si="23"/>
        <v>296.12340005765151</v>
      </c>
      <c r="G131" s="72">
        <f t="shared" si="34"/>
        <v>486.35361008490275</v>
      </c>
      <c r="H131" s="72">
        <f>IFERROR(-PMT(E131^1/12,Dashboard!$I$30-A131,B131),0)</f>
        <v>782.47701014255426</v>
      </c>
      <c r="I131" s="75">
        <f t="shared" si="24"/>
        <v>782.47701014255426</v>
      </c>
      <c r="J131" s="76">
        <f t="shared" si="35"/>
        <v>150187.93987658655</v>
      </c>
      <c r="K131" s="76">
        <f>J131*Dashboard!$K$26/12</f>
        <v>335.41973239104328</v>
      </c>
      <c r="L131" s="76">
        <f t="shared" si="25"/>
        <v>473.66611018631187</v>
      </c>
      <c r="M131" s="76">
        <f>IF(H131=0,0,IFERROR(-PMT(Dashboard!$K$26^1/12,Dashboard!$I$30,Dashboard!$I$26),0))</f>
        <v>809.08584257735515</v>
      </c>
      <c r="N131" s="2">
        <f>SUM(K11:K131)</f>
        <v>47613.660718260377</v>
      </c>
      <c r="O131" s="2">
        <f>SUM(F11:F131)</f>
        <v>44815.006327983756</v>
      </c>
      <c r="P131" s="59">
        <v>120</v>
      </c>
      <c r="Q131" s="28">
        <f t="shared" si="26"/>
        <v>0</v>
      </c>
      <c r="R131" s="20">
        <f>Q131/Dashboard!$I$25</f>
        <v>0</v>
      </c>
      <c r="S131" s="20">
        <f t="shared" si="27"/>
        <v>0</v>
      </c>
      <c r="T131" s="20">
        <f>IF($D$2="JA",Dashboard!$K$27-$S$11+S131,Dashboard!$K$27)</f>
        <v>2.6800000000000001E-2</v>
      </c>
      <c r="U131" s="27">
        <f t="shared" si="28"/>
        <v>0</v>
      </c>
      <c r="V131" s="26">
        <f>IF(Q131&lt;=1,0,Dashboard!$I$27/Dashboard!$I$30)</f>
        <v>0</v>
      </c>
      <c r="W131" s="28">
        <f>Q131*Dashboard!$K$27/12</f>
        <v>0</v>
      </c>
      <c r="Y131" s="59">
        <v>120</v>
      </c>
      <c r="Z131" s="67">
        <f>Dashboard!$I$28</f>
        <v>0</v>
      </c>
      <c r="AA131" s="64">
        <f>IF(Z131&lt;=1,0,Dashboard!$I$30-Y131)</f>
        <v>0</v>
      </c>
      <c r="AB131" s="64">
        <f t="shared" si="29"/>
        <v>0</v>
      </c>
      <c r="AC131" s="1">
        <f>Dashboard!$K$28</f>
        <v>2.6800000000000001E-2</v>
      </c>
      <c r="AD131" s="28">
        <f t="shared" si="30"/>
        <v>0</v>
      </c>
      <c r="AF131" s="2">
        <f t="shared" si="31"/>
        <v>149305.91599545453</v>
      </c>
      <c r="AG131" s="62">
        <f>(B131+Q131+Z131)/Dashboard!$I$25</f>
        <v>0.59722366398181814</v>
      </c>
      <c r="AH131" s="20">
        <f t="shared" si="32"/>
        <v>0</v>
      </c>
      <c r="AI131" s="20">
        <f>IF($D$2="JA",Dashboard!$K$26-$AH$11+AH131,Dashboard!$K$26)</f>
        <v>2.3800000000000002E-2</v>
      </c>
      <c r="AJ131" s="27">
        <f>Tabel2[[#This Row],[Schuldrest]]*AI131/12</f>
        <v>296.12340005765151</v>
      </c>
      <c r="AK131" s="20">
        <f>IF($D$2="JA",Dashboard!$K$27-$AH$11+AH131,Dashboard!$K$27)</f>
        <v>2.3800000000000002E-2</v>
      </c>
      <c r="AL131" s="27">
        <f t="shared" si="18"/>
        <v>0</v>
      </c>
      <c r="AM131" s="20">
        <f>IF($D$2="JA",Dashboard!$K$28-$AH$11+AH131,Dashboard!$K$28)</f>
        <v>2.3800000000000002E-2</v>
      </c>
      <c r="AN131" s="27">
        <f t="shared" si="19"/>
        <v>0</v>
      </c>
      <c r="AO131" s="63">
        <f>Tabel2[[#This Row],[Aflossing]]+V131</f>
        <v>486.35361008490275</v>
      </c>
      <c r="AP131" s="63">
        <f t="shared" si="33"/>
        <v>296.12340005765151</v>
      </c>
      <c r="AQ131" s="2">
        <f t="shared" si="20"/>
        <v>335.41973239104328</v>
      </c>
      <c r="AU131" s="20"/>
      <c r="AV131" s="20"/>
    </row>
    <row r="132" spans="1:48">
      <c r="A132" s="71">
        <v>121</v>
      </c>
      <c r="B132" s="77">
        <f t="shared" si="21"/>
        <v>148819.56238536962</v>
      </c>
      <c r="C132" s="73">
        <f>B132/Dashboard!$I$25</f>
        <v>0.59527824954147845</v>
      </c>
      <c r="D132" s="74">
        <f t="shared" si="22"/>
        <v>0</v>
      </c>
      <c r="E132" s="73">
        <f>IF($D$2="JA",Dashboard!$K$26-$D$11+D132,Dashboard!$K$26)</f>
        <v>2.3800000000000002E-2</v>
      </c>
      <c r="F132" s="72">
        <f t="shared" si="23"/>
        <v>295.15879873098311</v>
      </c>
      <c r="G132" s="72">
        <f t="shared" si="34"/>
        <v>487.31821141157104</v>
      </c>
      <c r="H132" s="72">
        <f>IFERROR(-PMT(E132^1/12,Dashboard!$I$30-A132,B132),0)</f>
        <v>782.47701014255415</v>
      </c>
      <c r="I132" s="75">
        <f t="shared" si="24"/>
        <v>782.47701014255415</v>
      </c>
      <c r="J132" s="76">
        <f t="shared" si="35"/>
        <v>149714.27376640023</v>
      </c>
      <c r="K132" s="76">
        <f>J132*Dashboard!$K$26/12</f>
        <v>334.36187807829384</v>
      </c>
      <c r="L132" s="76">
        <f t="shared" si="25"/>
        <v>474.72396449906131</v>
      </c>
      <c r="M132" s="76">
        <f>IF(H132=0,0,IFERROR(-PMT(Dashboard!$K$26^1/12,Dashboard!$I$30,Dashboard!$I$26),0))</f>
        <v>809.08584257735515</v>
      </c>
      <c r="P132" s="59">
        <v>121</v>
      </c>
      <c r="Q132" s="28">
        <f t="shared" si="26"/>
        <v>0</v>
      </c>
      <c r="R132" s="20">
        <f>Q132/Dashboard!$I$25</f>
        <v>0</v>
      </c>
      <c r="S132" s="20">
        <f t="shared" si="27"/>
        <v>0</v>
      </c>
      <c r="T132" s="20">
        <f>IF($D$2="JA",Dashboard!$K$27-$S$11+S132,Dashboard!$K$27)</f>
        <v>2.6800000000000001E-2</v>
      </c>
      <c r="U132" s="27">
        <f t="shared" si="28"/>
        <v>0</v>
      </c>
      <c r="V132" s="26">
        <f>IF(Q132&lt;=1,0,Dashboard!$I$27/Dashboard!$I$30)</f>
        <v>0</v>
      </c>
      <c r="W132" s="28">
        <f>Q132*Dashboard!$K$27/12</f>
        <v>0</v>
      </c>
      <c r="Y132" s="59">
        <v>121</v>
      </c>
      <c r="Z132" s="67">
        <f>Dashboard!$I$28</f>
        <v>0</v>
      </c>
      <c r="AA132" s="64">
        <f>IF(Z132&lt;=1,0,Dashboard!$I$30-Y132)</f>
        <v>0</v>
      </c>
      <c r="AB132" s="64">
        <f t="shared" si="29"/>
        <v>0</v>
      </c>
      <c r="AC132" s="1">
        <f>Dashboard!$K$28</f>
        <v>2.6800000000000001E-2</v>
      </c>
      <c r="AD132" s="28">
        <f t="shared" si="30"/>
        <v>0</v>
      </c>
      <c r="AF132" s="2">
        <f t="shared" si="31"/>
        <v>148819.56238536962</v>
      </c>
      <c r="AG132" s="62">
        <f>(B132+Q132+Z132)/Dashboard!$I$25</f>
        <v>0.59527824954147845</v>
      </c>
      <c r="AH132" s="20">
        <f t="shared" si="32"/>
        <v>0</v>
      </c>
      <c r="AI132" s="20">
        <f>IF($D$2="JA",Dashboard!$K$26-$AH$11+AH132,Dashboard!$K$26)</f>
        <v>2.3800000000000002E-2</v>
      </c>
      <c r="AJ132" s="27">
        <f>Tabel2[[#This Row],[Schuldrest]]*AI132/12</f>
        <v>295.15879873098311</v>
      </c>
      <c r="AK132" s="20">
        <f>IF($D$2="JA",Dashboard!$K$27-$AH$11+AH132,Dashboard!$K$27)</f>
        <v>2.3800000000000002E-2</v>
      </c>
      <c r="AL132" s="27">
        <f t="shared" si="18"/>
        <v>0</v>
      </c>
      <c r="AM132" s="20">
        <f>IF($D$2="JA",Dashboard!$K$28-$AH$11+AH132,Dashboard!$K$28)</f>
        <v>2.3800000000000002E-2</v>
      </c>
      <c r="AN132" s="27">
        <f t="shared" si="19"/>
        <v>0</v>
      </c>
      <c r="AO132" s="63">
        <f>Tabel2[[#This Row],[Aflossing]]+V132</f>
        <v>487.31821141157104</v>
      </c>
      <c r="AP132" s="63">
        <f t="shared" si="33"/>
        <v>295.15879873098311</v>
      </c>
      <c r="AQ132" s="2">
        <f t="shared" si="20"/>
        <v>334.36187807829384</v>
      </c>
      <c r="AU132" s="20"/>
      <c r="AV132" s="20"/>
    </row>
    <row r="133" spans="1:48">
      <c r="A133" s="71">
        <v>122</v>
      </c>
      <c r="B133" s="77">
        <f t="shared" si="21"/>
        <v>148332.24417395805</v>
      </c>
      <c r="C133" s="73">
        <f>B133/Dashboard!$I$25</f>
        <v>0.59332897669583218</v>
      </c>
      <c r="D133" s="74">
        <f t="shared" si="22"/>
        <v>0</v>
      </c>
      <c r="E133" s="73">
        <f>IF($D$2="JA",Dashboard!$K$26-$D$11+D133,Dashboard!$K$26)</f>
        <v>2.3800000000000002E-2</v>
      </c>
      <c r="F133" s="72">
        <f t="shared" si="23"/>
        <v>294.19228427835014</v>
      </c>
      <c r="G133" s="72">
        <f t="shared" si="34"/>
        <v>488.28472586420401</v>
      </c>
      <c r="H133" s="72">
        <f>IFERROR(-PMT(E133^1/12,Dashboard!$I$30-A133,B133),0)</f>
        <v>782.47701014255415</v>
      </c>
      <c r="I133" s="75">
        <f t="shared" si="24"/>
        <v>782.47701014255415</v>
      </c>
      <c r="J133" s="76">
        <f t="shared" si="35"/>
        <v>149239.54980190119</v>
      </c>
      <c r="K133" s="76">
        <f>J133*Dashboard!$K$26/12</f>
        <v>333.301661224246</v>
      </c>
      <c r="L133" s="76">
        <f t="shared" si="25"/>
        <v>475.78418135310915</v>
      </c>
      <c r="M133" s="76">
        <f>IF(H133=0,0,IFERROR(-PMT(Dashboard!$K$26^1/12,Dashboard!$I$30,Dashboard!$I$26),0))</f>
        <v>809.08584257735515</v>
      </c>
      <c r="P133" s="59">
        <v>122</v>
      </c>
      <c r="Q133" s="28">
        <f t="shared" si="26"/>
        <v>0</v>
      </c>
      <c r="R133" s="20">
        <f>Q133/Dashboard!$I$25</f>
        <v>0</v>
      </c>
      <c r="S133" s="20">
        <f t="shared" si="27"/>
        <v>0</v>
      </c>
      <c r="T133" s="20">
        <f>IF($D$2="JA",Dashboard!$K$27-$S$11+S133,Dashboard!$K$27)</f>
        <v>2.6800000000000001E-2</v>
      </c>
      <c r="U133" s="27">
        <f t="shared" si="28"/>
        <v>0</v>
      </c>
      <c r="V133" s="26">
        <f>IF(Q133&lt;=1,0,Dashboard!$I$27/Dashboard!$I$30)</f>
        <v>0</v>
      </c>
      <c r="W133" s="28">
        <f>Q133*Dashboard!$K$27/12</f>
        <v>0</v>
      </c>
      <c r="Y133" s="59">
        <v>122</v>
      </c>
      <c r="Z133" s="67">
        <f>Dashboard!$I$28</f>
        <v>0</v>
      </c>
      <c r="AA133" s="64">
        <f>IF(Z133&lt;=1,0,Dashboard!$I$30-Y133)</f>
        <v>0</v>
      </c>
      <c r="AB133" s="64">
        <f t="shared" si="29"/>
        <v>0</v>
      </c>
      <c r="AC133" s="1">
        <f>Dashboard!$K$28</f>
        <v>2.6800000000000001E-2</v>
      </c>
      <c r="AD133" s="28">
        <f t="shared" si="30"/>
        <v>0</v>
      </c>
      <c r="AF133" s="2">
        <f t="shared" si="31"/>
        <v>148332.24417395805</v>
      </c>
      <c r="AG133" s="62">
        <f>(B133+Q133+Z133)/Dashboard!$I$25</f>
        <v>0.59332897669583218</v>
      </c>
      <c r="AH133" s="20">
        <f t="shared" si="32"/>
        <v>0</v>
      </c>
      <c r="AI133" s="20">
        <f>IF($D$2="JA",Dashboard!$K$26-$AH$11+AH133,Dashboard!$K$26)</f>
        <v>2.3800000000000002E-2</v>
      </c>
      <c r="AJ133" s="27">
        <f>Tabel2[[#This Row],[Schuldrest]]*AI133/12</f>
        <v>294.19228427835014</v>
      </c>
      <c r="AK133" s="20">
        <f>IF($D$2="JA",Dashboard!$K$27-$AH$11+AH133,Dashboard!$K$27)</f>
        <v>2.3800000000000002E-2</v>
      </c>
      <c r="AL133" s="27">
        <f t="shared" si="18"/>
        <v>0</v>
      </c>
      <c r="AM133" s="20">
        <f>IF($D$2="JA",Dashboard!$K$28-$AH$11+AH133,Dashboard!$K$28)</f>
        <v>2.3800000000000002E-2</v>
      </c>
      <c r="AN133" s="27">
        <f t="shared" si="19"/>
        <v>0</v>
      </c>
      <c r="AO133" s="63">
        <f>Tabel2[[#This Row],[Aflossing]]+V133</f>
        <v>488.28472586420401</v>
      </c>
      <c r="AP133" s="63">
        <f t="shared" si="33"/>
        <v>294.19228427835014</v>
      </c>
      <c r="AQ133" s="2">
        <f t="shared" si="20"/>
        <v>333.301661224246</v>
      </c>
      <c r="AU133" s="20"/>
      <c r="AV133" s="20"/>
    </row>
    <row r="134" spans="1:48">
      <c r="A134" s="71">
        <v>123</v>
      </c>
      <c r="B134" s="77">
        <f t="shared" si="21"/>
        <v>147843.95944809384</v>
      </c>
      <c r="C134" s="73">
        <f>B134/Dashboard!$I$25</f>
        <v>0.59137583779237535</v>
      </c>
      <c r="D134" s="74">
        <f t="shared" si="22"/>
        <v>0</v>
      </c>
      <c r="E134" s="73">
        <f>IF($D$2="JA",Dashboard!$K$26-$D$11+D134,Dashboard!$K$26)</f>
        <v>2.3800000000000002E-2</v>
      </c>
      <c r="F134" s="72">
        <f t="shared" si="23"/>
        <v>293.22385290538614</v>
      </c>
      <c r="G134" s="72">
        <f t="shared" si="34"/>
        <v>489.25315723716801</v>
      </c>
      <c r="H134" s="72">
        <f>IFERROR(-PMT(E134^1/12,Dashboard!$I$30-A134,B134),0)</f>
        <v>782.47701014255415</v>
      </c>
      <c r="I134" s="75">
        <f t="shared" si="24"/>
        <v>782.47701014255415</v>
      </c>
      <c r="J134" s="76">
        <f t="shared" si="35"/>
        <v>148763.76562054807</v>
      </c>
      <c r="K134" s="76">
        <f>J134*Dashboard!$K$26/12</f>
        <v>332.23907655255738</v>
      </c>
      <c r="L134" s="76">
        <f t="shared" si="25"/>
        <v>476.84676602479777</v>
      </c>
      <c r="M134" s="76">
        <f>IF(H134=0,0,IFERROR(-PMT(Dashboard!$K$26^1/12,Dashboard!$I$30,Dashboard!$I$26),0))</f>
        <v>809.08584257735515</v>
      </c>
      <c r="P134" s="59">
        <v>123</v>
      </c>
      <c r="Q134" s="28">
        <f t="shared" si="26"/>
        <v>0</v>
      </c>
      <c r="R134" s="20">
        <f>Q134/Dashboard!$I$25</f>
        <v>0</v>
      </c>
      <c r="S134" s="20">
        <f t="shared" si="27"/>
        <v>0</v>
      </c>
      <c r="T134" s="20">
        <f>IF($D$2="JA",Dashboard!$K$27-$S$11+S134,Dashboard!$K$27)</f>
        <v>2.6800000000000001E-2</v>
      </c>
      <c r="U134" s="27">
        <f t="shared" si="28"/>
        <v>0</v>
      </c>
      <c r="V134" s="26">
        <f>IF(Q134&lt;=1,0,Dashboard!$I$27/Dashboard!$I$30)</f>
        <v>0</v>
      </c>
      <c r="W134" s="28">
        <f>Q134*Dashboard!$K$27/12</f>
        <v>0</v>
      </c>
      <c r="Y134" s="59">
        <v>123</v>
      </c>
      <c r="Z134" s="67">
        <f>Dashboard!$I$28</f>
        <v>0</v>
      </c>
      <c r="AA134" s="64">
        <f>IF(Z134&lt;=1,0,Dashboard!$I$30-Y134)</f>
        <v>0</v>
      </c>
      <c r="AB134" s="64">
        <f t="shared" si="29"/>
        <v>0</v>
      </c>
      <c r="AC134" s="1">
        <f>Dashboard!$K$28</f>
        <v>2.6800000000000001E-2</v>
      </c>
      <c r="AD134" s="28">
        <f t="shared" si="30"/>
        <v>0</v>
      </c>
      <c r="AF134" s="2">
        <f t="shared" si="31"/>
        <v>147843.95944809384</v>
      </c>
      <c r="AG134" s="62">
        <f>(B134+Q134+Z134)/Dashboard!$I$25</f>
        <v>0.59137583779237535</v>
      </c>
      <c r="AH134" s="20">
        <f t="shared" si="32"/>
        <v>0</v>
      </c>
      <c r="AI134" s="20">
        <f>IF($D$2="JA",Dashboard!$K$26-$AH$11+AH134,Dashboard!$K$26)</f>
        <v>2.3800000000000002E-2</v>
      </c>
      <c r="AJ134" s="27">
        <f>Tabel2[[#This Row],[Schuldrest]]*AI134/12</f>
        <v>293.22385290538614</v>
      </c>
      <c r="AK134" s="20">
        <f>IF($D$2="JA",Dashboard!$K$27-$AH$11+AH134,Dashboard!$K$27)</f>
        <v>2.3800000000000002E-2</v>
      </c>
      <c r="AL134" s="27">
        <f t="shared" si="18"/>
        <v>0</v>
      </c>
      <c r="AM134" s="20">
        <f>IF($D$2="JA",Dashboard!$K$28-$AH$11+AH134,Dashboard!$K$28)</f>
        <v>2.3800000000000002E-2</v>
      </c>
      <c r="AN134" s="27">
        <f t="shared" si="19"/>
        <v>0</v>
      </c>
      <c r="AO134" s="63">
        <f>Tabel2[[#This Row],[Aflossing]]+V134</f>
        <v>489.25315723716801</v>
      </c>
      <c r="AP134" s="63">
        <f t="shared" si="33"/>
        <v>293.22385290538614</v>
      </c>
      <c r="AQ134" s="2">
        <f t="shared" si="20"/>
        <v>332.23907655255738</v>
      </c>
      <c r="AU134" s="20"/>
      <c r="AV134" s="20"/>
    </row>
    <row r="135" spans="1:48">
      <c r="A135" s="71">
        <v>124</v>
      </c>
      <c r="B135" s="77">
        <f t="shared" si="21"/>
        <v>147354.70629085667</v>
      </c>
      <c r="C135" s="73">
        <f>B135/Dashboard!$I$25</f>
        <v>0.5894188251634267</v>
      </c>
      <c r="D135" s="74">
        <f t="shared" si="22"/>
        <v>0</v>
      </c>
      <c r="E135" s="73">
        <f>IF($D$2="JA",Dashboard!$K$26-$D$11+D135,Dashboard!$K$26)</f>
        <v>2.3800000000000002E-2</v>
      </c>
      <c r="F135" s="72">
        <f t="shared" si="23"/>
        <v>292.25350081019911</v>
      </c>
      <c r="G135" s="72">
        <f t="shared" si="34"/>
        <v>490.22350933235504</v>
      </c>
      <c r="H135" s="72">
        <f>IFERROR(-PMT(E135^1/12,Dashboard!$I$30-A135,B135),0)</f>
        <v>782.47701014255415</v>
      </c>
      <c r="I135" s="75">
        <f t="shared" si="24"/>
        <v>782.47701014255415</v>
      </c>
      <c r="J135" s="76">
        <f t="shared" si="35"/>
        <v>148286.91885452328</v>
      </c>
      <c r="K135" s="76">
        <f>J135*Dashboard!$K$26/12</f>
        <v>331.17411877510199</v>
      </c>
      <c r="L135" s="76">
        <f t="shared" si="25"/>
        <v>477.91172380225316</v>
      </c>
      <c r="M135" s="76">
        <f>IF(H135=0,0,IFERROR(-PMT(Dashboard!$K$26^1/12,Dashboard!$I$30,Dashboard!$I$26),0))</f>
        <v>809.08584257735515</v>
      </c>
      <c r="P135" s="59">
        <v>124</v>
      </c>
      <c r="Q135" s="28">
        <f t="shared" si="26"/>
        <v>0</v>
      </c>
      <c r="R135" s="20">
        <f>Q135/Dashboard!$I$25</f>
        <v>0</v>
      </c>
      <c r="S135" s="20">
        <f t="shared" si="27"/>
        <v>0</v>
      </c>
      <c r="T135" s="20">
        <f>IF($D$2="JA",Dashboard!$K$27-$S$11+S135,Dashboard!$K$27)</f>
        <v>2.6800000000000001E-2</v>
      </c>
      <c r="U135" s="27">
        <f t="shared" si="28"/>
        <v>0</v>
      </c>
      <c r="V135" s="26">
        <f>IF(Q135&lt;=1,0,Dashboard!$I$27/Dashboard!$I$30)</f>
        <v>0</v>
      </c>
      <c r="W135" s="28">
        <f>Q135*Dashboard!$K$27/12</f>
        <v>0</v>
      </c>
      <c r="Y135" s="59">
        <v>124</v>
      </c>
      <c r="Z135" s="67">
        <f>Dashboard!$I$28</f>
        <v>0</v>
      </c>
      <c r="AA135" s="64">
        <f>IF(Z135&lt;=1,0,Dashboard!$I$30-Y135)</f>
        <v>0</v>
      </c>
      <c r="AB135" s="64">
        <f t="shared" si="29"/>
        <v>0</v>
      </c>
      <c r="AC135" s="1">
        <f>Dashboard!$K$28</f>
        <v>2.6800000000000001E-2</v>
      </c>
      <c r="AD135" s="28">
        <f t="shared" si="30"/>
        <v>0</v>
      </c>
      <c r="AF135" s="2">
        <f t="shared" si="31"/>
        <v>147354.70629085667</v>
      </c>
      <c r="AG135" s="62">
        <f>(B135+Q135+Z135)/Dashboard!$I$25</f>
        <v>0.5894188251634267</v>
      </c>
      <c r="AH135" s="20">
        <f t="shared" si="32"/>
        <v>0</v>
      </c>
      <c r="AI135" s="20">
        <f>IF($D$2="JA",Dashboard!$K$26-$AH$11+AH135,Dashboard!$K$26)</f>
        <v>2.3800000000000002E-2</v>
      </c>
      <c r="AJ135" s="27">
        <f>Tabel2[[#This Row],[Schuldrest]]*AI135/12</f>
        <v>292.25350081019911</v>
      </c>
      <c r="AK135" s="20">
        <f>IF($D$2="JA",Dashboard!$K$27-$AH$11+AH135,Dashboard!$K$27)</f>
        <v>2.3800000000000002E-2</v>
      </c>
      <c r="AL135" s="27">
        <f t="shared" si="18"/>
        <v>0</v>
      </c>
      <c r="AM135" s="20">
        <f>IF($D$2="JA",Dashboard!$K$28-$AH$11+AH135,Dashboard!$K$28)</f>
        <v>2.3800000000000002E-2</v>
      </c>
      <c r="AN135" s="27">
        <f t="shared" si="19"/>
        <v>0</v>
      </c>
      <c r="AO135" s="63">
        <f>Tabel2[[#This Row],[Aflossing]]+V135</f>
        <v>490.22350933235504</v>
      </c>
      <c r="AP135" s="63">
        <f t="shared" si="33"/>
        <v>292.25350081019911</v>
      </c>
      <c r="AQ135" s="2">
        <f t="shared" si="20"/>
        <v>331.17411877510199</v>
      </c>
      <c r="AU135" s="20"/>
      <c r="AV135" s="20"/>
    </row>
    <row r="136" spans="1:48">
      <c r="A136" s="71">
        <v>125</v>
      </c>
      <c r="B136" s="77">
        <f t="shared" si="21"/>
        <v>146864.4827815243</v>
      </c>
      <c r="C136" s="73">
        <f>B136/Dashboard!$I$25</f>
        <v>0.58745793112609723</v>
      </c>
      <c r="D136" s="74">
        <f t="shared" si="22"/>
        <v>0</v>
      </c>
      <c r="E136" s="73">
        <f>IF($D$2="JA",Dashboard!$K$26-$D$11+D136,Dashboard!$K$26)</f>
        <v>2.3800000000000002E-2</v>
      </c>
      <c r="F136" s="72">
        <f t="shared" si="23"/>
        <v>291.28122418335653</v>
      </c>
      <c r="G136" s="72">
        <f t="shared" si="34"/>
        <v>491.19578595919751</v>
      </c>
      <c r="H136" s="72">
        <f>IFERROR(-PMT(E136^1/12,Dashboard!$I$30-A136,B136),0)</f>
        <v>782.47701014255404</v>
      </c>
      <c r="I136" s="75">
        <f t="shared" si="24"/>
        <v>782.47701014255404</v>
      </c>
      <c r="J136" s="76">
        <f t="shared" si="35"/>
        <v>147809.00713072103</v>
      </c>
      <c r="K136" s="76">
        <f>J136*Dashboard!$K$26/12</f>
        <v>330.10678259194361</v>
      </c>
      <c r="L136" s="76">
        <f t="shared" si="25"/>
        <v>478.97905998541154</v>
      </c>
      <c r="M136" s="76">
        <f>IF(H136=0,0,IFERROR(-PMT(Dashboard!$K$26^1/12,Dashboard!$I$30,Dashboard!$I$26),0))</f>
        <v>809.08584257735515</v>
      </c>
      <c r="P136" s="59">
        <v>125</v>
      </c>
      <c r="Q136" s="28">
        <f t="shared" si="26"/>
        <v>0</v>
      </c>
      <c r="R136" s="20">
        <f>Q136/Dashboard!$I$25</f>
        <v>0</v>
      </c>
      <c r="S136" s="20">
        <f t="shared" si="27"/>
        <v>0</v>
      </c>
      <c r="T136" s="20">
        <f>IF($D$2="JA",Dashboard!$K$27-$S$11+S136,Dashboard!$K$27)</f>
        <v>2.6800000000000001E-2</v>
      </c>
      <c r="U136" s="27">
        <f t="shared" si="28"/>
        <v>0</v>
      </c>
      <c r="V136" s="26">
        <f>IF(Q136&lt;=1,0,Dashboard!$I$27/Dashboard!$I$30)</f>
        <v>0</v>
      </c>
      <c r="W136" s="28">
        <f>Q136*Dashboard!$K$27/12</f>
        <v>0</v>
      </c>
      <c r="Y136" s="59">
        <v>125</v>
      </c>
      <c r="Z136" s="67">
        <f>Dashboard!$I$28</f>
        <v>0</v>
      </c>
      <c r="AA136" s="64">
        <f>IF(Z136&lt;=1,0,Dashboard!$I$30-Y136)</f>
        <v>0</v>
      </c>
      <c r="AB136" s="64">
        <f t="shared" si="29"/>
        <v>0</v>
      </c>
      <c r="AC136" s="1">
        <f>Dashboard!$K$28</f>
        <v>2.6800000000000001E-2</v>
      </c>
      <c r="AD136" s="28">
        <f t="shared" si="30"/>
        <v>0</v>
      </c>
      <c r="AF136" s="2">
        <f t="shared" si="31"/>
        <v>146864.4827815243</v>
      </c>
      <c r="AG136" s="62">
        <f>(B136+Q136+Z136)/Dashboard!$I$25</f>
        <v>0.58745793112609723</v>
      </c>
      <c r="AH136" s="20">
        <f t="shared" si="32"/>
        <v>0</v>
      </c>
      <c r="AI136" s="20">
        <f>IF($D$2="JA",Dashboard!$K$26-$AH$11+AH136,Dashboard!$K$26)</f>
        <v>2.3800000000000002E-2</v>
      </c>
      <c r="AJ136" s="27">
        <f>Tabel2[[#This Row],[Schuldrest]]*AI136/12</f>
        <v>291.28122418335653</v>
      </c>
      <c r="AK136" s="20">
        <f>IF($D$2="JA",Dashboard!$K$27-$AH$11+AH136,Dashboard!$K$27)</f>
        <v>2.3800000000000002E-2</v>
      </c>
      <c r="AL136" s="27">
        <f t="shared" si="18"/>
        <v>0</v>
      </c>
      <c r="AM136" s="20">
        <f>IF($D$2="JA",Dashboard!$K$28-$AH$11+AH136,Dashboard!$K$28)</f>
        <v>2.3800000000000002E-2</v>
      </c>
      <c r="AN136" s="27">
        <f t="shared" si="19"/>
        <v>0</v>
      </c>
      <c r="AO136" s="63">
        <f>Tabel2[[#This Row],[Aflossing]]+V136</f>
        <v>491.19578595919751</v>
      </c>
      <c r="AP136" s="63">
        <f t="shared" si="33"/>
        <v>291.28122418335653</v>
      </c>
      <c r="AQ136" s="2">
        <f t="shared" si="20"/>
        <v>330.10678259194361</v>
      </c>
      <c r="AU136" s="20"/>
      <c r="AV136" s="20"/>
    </row>
    <row r="137" spans="1:48">
      <c r="A137" s="71">
        <v>126</v>
      </c>
      <c r="B137" s="77">
        <f t="shared" si="21"/>
        <v>146373.28699556511</v>
      </c>
      <c r="C137" s="73">
        <f>B137/Dashboard!$I$25</f>
        <v>0.58549314798226049</v>
      </c>
      <c r="D137" s="74">
        <f t="shared" si="22"/>
        <v>0</v>
      </c>
      <c r="E137" s="73">
        <f>IF($D$2="JA",Dashboard!$K$26-$D$11+D137,Dashboard!$K$26)</f>
        <v>2.3800000000000002E-2</v>
      </c>
      <c r="F137" s="72">
        <f t="shared" si="23"/>
        <v>290.30701920787084</v>
      </c>
      <c r="G137" s="72">
        <f t="shared" si="34"/>
        <v>492.16999093468331</v>
      </c>
      <c r="H137" s="72">
        <f>IFERROR(-PMT(E137^1/12,Dashboard!$I$30-A137,B137),0)</f>
        <v>782.47701014255415</v>
      </c>
      <c r="I137" s="75">
        <f t="shared" si="24"/>
        <v>782.47701014255415</v>
      </c>
      <c r="J137" s="76">
        <f t="shared" si="35"/>
        <v>147330.02807073563</v>
      </c>
      <c r="K137" s="76">
        <f>J137*Dashboard!$K$26/12</f>
        <v>329.03706269130959</v>
      </c>
      <c r="L137" s="76">
        <f t="shared" si="25"/>
        <v>480.04877988604557</v>
      </c>
      <c r="M137" s="76">
        <f>IF(H137=0,0,IFERROR(-PMT(Dashboard!$K$26^1/12,Dashboard!$I$30,Dashboard!$I$26),0))</f>
        <v>809.08584257735515</v>
      </c>
      <c r="P137" s="59">
        <v>126</v>
      </c>
      <c r="Q137" s="28">
        <f t="shared" si="26"/>
        <v>0</v>
      </c>
      <c r="R137" s="20">
        <f>Q137/Dashboard!$I$25</f>
        <v>0</v>
      </c>
      <c r="S137" s="20">
        <f t="shared" si="27"/>
        <v>0</v>
      </c>
      <c r="T137" s="20">
        <f>IF($D$2="JA",Dashboard!$K$27-$S$11+S137,Dashboard!$K$27)</f>
        <v>2.6800000000000001E-2</v>
      </c>
      <c r="U137" s="27">
        <f t="shared" si="28"/>
        <v>0</v>
      </c>
      <c r="V137" s="26">
        <f>IF(Q137&lt;=1,0,Dashboard!$I$27/Dashboard!$I$30)</f>
        <v>0</v>
      </c>
      <c r="W137" s="28">
        <f>Q137*Dashboard!$K$27/12</f>
        <v>0</v>
      </c>
      <c r="Y137" s="59">
        <v>126</v>
      </c>
      <c r="Z137" s="67">
        <f>Dashboard!$I$28</f>
        <v>0</v>
      </c>
      <c r="AA137" s="64">
        <f>IF(Z137&lt;=1,0,Dashboard!$I$30-Y137)</f>
        <v>0</v>
      </c>
      <c r="AB137" s="64">
        <f t="shared" si="29"/>
        <v>0</v>
      </c>
      <c r="AC137" s="1">
        <f>Dashboard!$K$28</f>
        <v>2.6800000000000001E-2</v>
      </c>
      <c r="AD137" s="28">
        <f t="shared" si="30"/>
        <v>0</v>
      </c>
      <c r="AF137" s="2">
        <f t="shared" si="31"/>
        <v>146373.28699556511</v>
      </c>
      <c r="AG137" s="62">
        <f>(B137+Q137+Z137)/Dashboard!$I$25</f>
        <v>0.58549314798226049</v>
      </c>
      <c r="AH137" s="20">
        <f t="shared" si="32"/>
        <v>0</v>
      </c>
      <c r="AI137" s="20">
        <f>IF($D$2="JA",Dashboard!$K$26-$AH$11+AH137,Dashboard!$K$26)</f>
        <v>2.3800000000000002E-2</v>
      </c>
      <c r="AJ137" s="27">
        <f>Tabel2[[#This Row],[Schuldrest]]*AI137/12</f>
        <v>290.30701920787084</v>
      </c>
      <c r="AK137" s="20">
        <f>IF($D$2="JA",Dashboard!$K$27-$AH$11+AH137,Dashboard!$K$27)</f>
        <v>2.3800000000000002E-2</v>
      </c>
      <c r="AL137" s="27">
        <f t="shared" si="18"/>
        <v>0</v>
      </c>
      <c r="AM137" s="20">
        <f>IF($D$2="JA",Dashboard!$K$28-$AH$11+AH137,Dashboard!$K$28)</f>
        <v>2.3800000000000002E-2</v>
      </c>
      <c r="AN137" s="27">
        <f t="shared" si="19"/>
        <v>0</v>
      </c>
      <c r="AO137" s="63">
        <f>Tabel2[[#This Row],[Aflossing]]+V137</f>
        <v>492.16999093468331</v>
      </c>
      <c r="AP137" s="63">
        <f t="shared" si="33"/>
        <v>290.30701920787084</v>
      </c>
      <c r="AQ137" s="2">
        <f t="shared" si="20"/>
        <v>329.03706269130959</v>
      </c>
      <c r="AU137" s="20"/>
      <c r="AV137" s="20"/>
    </row>
    <row r="138" spans="1:48">
      <c r="A138" s="71">
        <v>127</v>
      </c>
      <c r="B138" s="77">
        <f t="shared" si="21"/>
        <v>145881.11700463042</v>
      </c>
      <c r="C138" s="73">
        <f>B138/Dashboard!$I$25</f>
        <v>0.58352446801852165</v>
      </c>
      <c r="D138" s="74">
        <f t="shared" si="22"/>
        <v>0</v>
      </c>
      <c r="E138" s="73">
        <f>IF($D$2="JA",Dashboard!$K$26-$D$11+D138,Dashboard!$K$26)</f>
        <v>2.3800000000000002E-2</v>
      </c>
      <c r="F138" s="72">
        <f t="shared" si="23"/>
        <v>289.33088205918369</v>
      </c>
      <c r="G138" s="72">
        <f t="shared" si="34"/>
        <v>493.14612808337034</v>
      </c>
      <c r="H138" s="72">
        <f>IFERROR(-PMT(E138^1/12,Dashboard!$I$30-A138,B138),0)</f>
        <v>782.47701014255404</v>
      </c>
      <c r="I138" s="75">
        <f t="shared" si="24"/>
        <v>782.47701014255404</v>
      </c>
      <c r="J138" s="76">
        <f t="shared" si="35"/>
        <v>146849.97929084959</v>
      </c>
      <c r="K138" s="76">
        <f>J138*Dashboard!$K$26/12</f>
        <v>327.96495374956407</v>
      </c>
      <c r="L138" s="76">
        <f t="shared" si="25"/>
        <v>481.12088882779108</v>
      </c>
      <c r="M138" s="76">
        <f>IF(H138=0,0,IFERROR(-PMT(Dashboard!$K$26^1/12,Dashboard!$I$30,Dashboard!$I$26),0))</f>
        <v>809.08584257735515</v>
      </c>
      <c r="P138" s="59">
        <v>127</v>
      </c>
      <c r="Q138" s="28">
        <f t="shared" si="26"/>
        <v>0</v>
      </c>
      <c r="R138" s="20">
        <f>Q138/Dashboard!$I$25</f>
        <v>0</v>
      </c>
      <c r="S138" s="20">
        <f t="shared" si="27"/>
        <v>0</v>
      </c>
      <c r="T138" s="20">
        <f>IF($D$2="JA",Dashboard!$K$27-$S$11+S138,Dashboard!$K$27)</f>
        <v>2.6800000000000001E-2</v>
      </c>
      <c r="U138" s="27">
        <f t="shared" si="28"/>
        <v>0</v>
      </c>
      <c r="V138" s="26">
        <f>IF(Q138&lt;=1,0,Dashboard!$I$27/Dashboard!$I$30)</f>
        <v>0</v>
      </c>
      <c r="W138" s="28">
        <f>Q138*Dashboard!$K$27/12</f>
        <v>0</v>
      </c>
      <c r="Y138" s="59">
        <v>127</v>
      </c>
      <c r="Z138" s="67">
        <f>Dashboard!$I$28</f>
        <v>0</v>
      </c>
      <c r="AA138" s="64">
        <f>IF(Z138&lt;=1,0,Dashboard!$I$30-Y138)</f>
        <v>0</v>
      </c>
      <c r="AB138" s="64">
        <f t="shared" si="29"/>
        <v>0</v>
      </c>
      <c r="AC138" s="1">
        <f>Dashboard!$K$28</f>
        <v>2.6800000000000001E-2</v>
      </c>
      <c r="AD138" s="28">
        <f t="shared" si="30"/>
        <v>0</v>
      </c>
      <c r="AF138" s="2">
        <f t="shared" si="31"/>
        <v>145881.11700463042</v>
      </c>
      <c r="AG138" s="62">
        <f>(B138+Q138+Z138)/Dashboard!$I$25</f>
        <v>0.58352446801852165</v>
      </c>
      <c r="AH138" s="20">
        <f t="shared" si="32"/>
        <v>0</v>
      </c>
      <c r="AI138" s="20">
        <f>IF($D$2="JA",Dashboard!$K$26-$AH$11+AH138,Dashboard!$K$26)</f>
        <v>2.3800000000000002E-2</v>
      </c>
      <c r="AJ138" s="27">
        <f>Tabel2[[#This Row],[Schuldrest]]*AI138/12</f>
        <v>289.33088205918369</v>
      </c>
      <c r="AK138" s="20">
        <f>IF($D$2="JA",Dashboard!$K$27-$AH$11+AH138,Dashboard!$K$27)</f>
        <v>2.3800000000000002E-2</v>
      </c>
      <c r="AL138" s="27">
        <f t="shared" si="18"/>
        <v>0</v>
      </c>
      <c r="AM138" s="20">
        <f>IF($D$2="JA",Dashboard!$K$28-$AH$11+AH138,Dashboard!$K$28)</f>
        <v>2.3800000000000002E-2</v>
      </c>
      <c r="AN138" s="27">
        <f t="shared" si="19"/>
        <v>0</v>
      </c>
      <c r="AO138" s="63">
        <f>Tabel2[[#This Row],[Aflossing]]+V138</f>
        <v>493.14612808337034</v>
      </c>
      <c r="AP138" s="63">
        <f t="shared" si="33"/>
        <v>289.33088205918369</v>
      </c>
      <c r="AQ138" s="2">
        <f t="shared" si="20"/>
        <v>327.96495374956407</v>
      </c>
      <c r="AU138" s="20"/>
      <c r="AV138" s="20"/>
    </row>
    <row r="139" spans="1:48">
      <c r="A139" s="71">
        <v>128</v>
      </c>
      <c r="B139" s="77">
        <f t="shared" si="21"/>
        <v>145387.97087654704</v>
      </c>
      <c r="C139" s="73">
        <f>B139/Dashboard!$I$25</f>
        <v>0.58155188350618814</v>
      </c>
      <c r="D139" s="74">
        <f t="shared" si="22"/>
        <v>0</v>
      </c>
      <c r="E139" s="73">
        <f>IF($D$2="JA",Dashboard!$K$26-$D$11+D139,Dashboard!$K$26)</f>
        <v>2.3800000000000002E-2</v>
      </c>
      <c r="F139" s="72">
        <f t="shared" si="23"/>
        <v>288.35280890515168</v>
      </c>
      <c r="G139" s="72">
        <f t="shared" si="34"/>
        <v>494.12420123740225</v>
      </c>
      <c r="H139" s="72">
        <f>IFERROR(-PMT(E139^1/12,Dashboard!$I$30-A139,B139),0)</f>
        <v>782.47701014255392</v>
      </c>
      <c r="I139" s="75">
        <f t="shared" si="24"/>
        <v>782.47701014255392</v>
      </c>
      <c r="J139" s="76">
        <f t="shared" si="35"/>
        <v>146368.85840202178</v>
      </c>
      <c r="K139" s="76">
        <f>J139*Dashboard!$K$26/12</f>
        <v>326.89045043118199</v>
      </c>
      <c r="L139" s="76">
        <f t="shared" si="25"/>
        <v>482.19539214617316</v>
      </c>
      <c r="M139" s="76">
        <f>IF(H139=0,0,IFERROR(-PMT(Dashboard!$K$26^1/12,Dashboard!$I$30,Dashboard!$I$26),0))</f>
        <v>809.08584257735515</v>
      </c>
      <c r="P139" s="59">
        <v>128</v>
      </c>
      <c r="Q139" s="28">
        <f t="shared" si="26"/>
        <v>0</v>
      </c>
      <c r="R139" s="20">
        <f>Q139/Dashboard!$I$25</f>
        <v>0</v>
      </c>
      <c r="S139" s="20">
        <f t="shared" si="27"/>
        <v>0</v>
      </c>
      <c r="T139" s="20">
        <f>IF($D$2="JA",Dashboard!$K$27-$S$11+S139,Dashboard!$K$27)</f>
        <v>2.6800000000000001E-2</v>
      </c>
      <c r="U139" s="27">
        <f t="shared" si="28"/>
        <v>0</v>
      </c>
      <c r="V139" s="26">
        <f>IF(Q139&lt;=1,0,Dashboard!$I$27/Dashboard!$I$30)</f>
        <v>0</v>
      </c>
      <c r="W139" s="28">
        <f>Q139*Dashboard!$K$27/12</f>
        <v>0</v>
      </c>
      <c r="Y139" s="59">
        <v>128</v>
      </c>
      <c r="Z139" s="67">
        <f>Dashboard!$I$28</f>
        <v>0</v>
      </c>
      <c r="AA139" s="64">
        <f>IF(Z139&lt;=1,0,Dashboard!$I$30-Y139)</f>
        <v>0</v>
      </c>
      <c r="AB139" s="64">
        <f t="shared" si="29"/>
        <v>0</v>
      </c>
      <c r="AC139" s="1">
        <f>Dashboard!$K$28</f>
        <v>2.6800000000000001E-2</v>
      </c>
      <c r="AD139" s="28">
        <f t="shared" si="30"/>
        <v>0</v>
      </c>
      <c r="AF139" s="2">
        <f t="shared" si="31"/>
        <v>145387.97087654704</v>
      </c>
      <c r="AG139" s="62">
        <f>(B139+Q139+Z139)/Dashboard!$I$25</f>
        <v>0.58155188350618814</v>
      </c>
      <c r="AH139" s="20">
        <f t="shared" si="32"/>
        <v>0</v>
      </c>
      <c r="AI139" s="20">
        <f>IF($D$2="JA",Dashboard!$K$26-$AH$11+AH139,Dashboard!$K$26)</f>
        <v>2.3800000000000002E-2</v>
      </c>
      <c r="AJ139" s="27">
        <f>Tabel2[[#This Row],[Schuldrest]]*AI139/12</f>
        <v>288.35280890515168</v>
      </c>
      <c r="AK139" s="20">
        <f>IF($D$2="JA",Dashboard!$K$27-$AH$11+AH139,Dashboard!$K$27)</f>
        <v>2.3800000000000002E-2</v>
      </c>
      <c r="AL139" s="27">
        <f t="shared" ref="AL139:AL202" si="36">Q139*AK139/12</f>
        <v>0</v>
      </c>
      <c r="AM139" s="20">
        <f>IF($D$2="JA",Dashboard!$K$28-$AH$11+AH139,Dashboard!$K$28)</f>
        <v>2.3800000000000002E-2</v>
      </c>
      <c r="AN139" s="27">
        <f t="shared" ref="AN139:AN202" si="37">AB139*AM139/12</f>
        <v>0</v>
      </c>
      <c r="AO139" s="63">
        <f>Tabel2[[#This Row],[Aflossing]]+V139</f>
        <v>494.12420123740225</v>
      </c>
      <c r="AP139" s="63">
        <f t="shared" si="33"/>
        <v>288.35280890515168</v>
      </c>
      <c r="AQ139" s="2">
        <f t="shared" ref="AQ139:AQ202" si="38">K139+W139+AD139</f>
        <v>326.89045043118199</v>
      </c>
      <c r="AU139" s="20"/>
      <c r="AV139" s="20"/>
    </row>
    <row r="140" spans="1:48">
      <c r="A140" s="71">
        <v>129</v>
      </c>
      <c r="B140" s="77">
        <f t="shared" ref="B140:B203" si="39">B139-G139</f>
        <v>144893.84667530964</v>
      </c>
      <c r="C140" s="73">
        <f>B140/Dashboard!$I$25</f>
        <v>0.57957538670123854</v>
      </c>
      <c r="D140" s="74">
        <f t="shared" ref="D140:D203" si="40">IF(C140&lt;=$C$5,0,VLOOKUP(C140,$C$6:$E$8,3))</f>
        <v>0</v>
      </c>
      <c r="E140" s="73">
        <f>IF($D$2="JA",Dashboard!$K$26-$D$11+D140,Dashboard!$K$26)</f>
        <v>2.3800000000000002E-2</v>
      </c>
      <c r="F140" s="72">
        <f t="shared" ref="F140:F203" si="41">B140*E140/12</f>
        <v>287.37279590603083</v>
      </c>
      <c r="G140" s="72">
        <f t="shared" si="34"/>
        <v>495.10421423652321</v>
      </c>
      <c r="H140" s="72">
        <f>IFERROR(-PMT(E140^1/12,Dashboard!$I$30-A140,B140),0)</f>
        <v>782.47701014255404</v>
      </c>
      <c r="I140" s="75">
        <f t="shared" ref="I140:I203" si="42">H140</f>
        <v>782.47701014255404</v>
      </c>
      <c r="J140" s="76">
        <f t="shared" si="35"/>
        <v>145886.6630098756</v>
      </c>
      <c r="K140" s="76">
        <f>J140*Dashboard!$K$26/12</f>
        <v>325.81354738872216</v>
      </c>
      <c r="L140" s="76">
        <f t="shared" ref="L140:L203" si="43">M140-K140</f>
        <v>483.272295188633</v>
      </c>
      <c r="M140" s="76">
        <f>IF(H140=0,0,IFERROR(-PMT(Dashboard!$K$26^1/12,Dashboard!$I$30,Dashboard!$I$26),0))</f>
        <v>809.08584257735515</v>
      </c>
      <c r="P140" s="59">
        <v>129</v>
      </c>
      <c r="Q140" s="28">
        <f t="shared" ref="Q140:Q203" si="44">MAX(Q139-V139,0)</f>
        <v>0</v>
      </c>
      <c r="R140" s="20">
        <f>Q140/Dashboard!$I$25</f>
        <v>0</v>
      </c>
      <c r="S140" s="20">
        <f t="shared" ref="S140:S203" si="45">IF(R140&lt;=$C$5,0,VLOOKUP(C140,$C$6:$E$8,3))</f>
        <v>0</v>
      </c>
      <c r="T140" s="20">
        <f>IF($D$2="JA",Dashboard!$K$27-$S$11+S140,Dashboard!$K$27)</f>
        <v>2.6800000000000001E-2</v>
      </c>
      <c r="U140" s="27">
        <f t="shared" ref="U140:U203" si="46">Q140*T140/12</f>
        <v>0</v>
      </c>
      <c r="V140" s="26">
        <f>IF(Q140&lt;=1,0,Dashboard!$I$27/Dashboard!$I$30)</f>
        <v>0</v>
      </c>
      <c r="W140" s="28">
        <f>Q140*Dashboard!$K$27/12</f>
        <v>0</v>
      </c>
      <c r="Y140" s="59">
        <v>129</v>
      </c>
      <c r="Z140" s="67">
        <f>Dashboard!$I$28</f>
        <v>0</v>
      </c>
      <c r="AA140" s="64">
        <f>IF(Z140&lt;=1,0,Dashboard!$I$30-Y140)</f>
        <v>0</v>
      </c>
      <c r="AB140" s="64">
        <f t="shared" ref="AB140:AB203" si="47">IF(AA140&lt;=0,0,Z140)</f>
        <v>0</v>
      </c>
      <c r="AC140" s="1">
        <f>Dashboard!$K$28</f>
        <v>2.6800000000000001E-2</v>
      </c>
      <c r="AD140" s="28">
        <f t="shared" ref="AD140:AD203" si="48">AB140*AC140/12</f>
        <v>0</v>
      </c>
      <c r="AF140" s="2">
        <f t="shared" ref="AF140:AF203" si="49">SUM(B140,Q140,AB140)</f>
        <v>144893.84667530964</v>
      </c>
      <c r="AG140" s="62">
        <f>(B140+Q140+Z140)/Dashboard!$I$25</f>
        <v>0.57957538670123854</v>
      </c>
      <c r="AH140" s="20">
        <f t="shared" ref="AH140:AH203" si="50">IF(AG140&lt;=$C$5,0,VLOOKUP(AG140,$C$6:$E$8,3))</f>
        <v>0</v>
      </c>
      <c r="AI140" s="20">
        <f>IF($D$2="JA",Dashboard!$K$26-$AH$11+AH140,Dashboard!$K$26)</f>
        <v>2.3800000000000002E-2</v>
      </c>
      <c r="AJ140" s="27">
        <f>Tabel2[[#This Row],[Schuldrest]]*AI140/12</f>
        <v>287.37279590603083</v>
      </c>
      <c r="AK140" s="20">
        <f>IF($D$2="JA",Dashboard!$K$27-$AH$11+AH140,Dashboard!$K$27)</f>
        <v>2.3800000000000002E-2</v>
      </c>
      <c r="AL140" s="27">
        <f t="shared" si="36"/>
        <v>0</v>
      </c>
      <c r="AM140" s="20">
        <f>IF($D$2="JA",Dashboard!$K$28-$AH$11+AH140,Dashboard!$K$28)</f>
        <v>2.3800000000000002E-2</v>
      </c>
      <c r="AN140" s="27">
        <f t="shared" si="37"/>
        <v>0</v>
      </c>
      <c r="AO140" s="63">
        <f>Tabel2[[#This Row],[Aflossing]]+V140</f>
        <v>495.10421423652321</v>
      </c>
      <c r="AP140" s="63">
        <f t="shared" ref="AP140:AP203" si="51">AJ140+AL140+AN140</f>
        <v>287.37279590603083</v>
      </c>
      <c r="AQ140" s="2">
        <f t="shared" si="38"/>
        <v>325.81354738872216</v>
      </c>
      <c r="AU140" s="20"/>
      <c r="AV140" s="20"/>
    </row>
    <row r="141" spans="1:48">
      <c r="A141" s="71">
        <v>130</v>
      </c>
      <c r="B141" s="77">
        <f t="shared" si="39"/>
        <v>144398.74246107313</v>
      </c>
      <c r="C141" s="73">
        <f>B141/Dashboard!$I$25</f>
        <v>0.57759496984429248</v>
      </c>
      <c r="D141" s="74">
        <f t="shared" si="40"/>
        <v>0</v>
      </c>
      <c r="E141" s="73">
        <f>IF($D$2="JA",Dashboard!$K$26-$D$11+D141,Dashboard!$K$26)</f>
        <v>2.3800000000000002E-2</v>
      </c>
      <c r="F141" s="72">
        <f t="shared" si="41"/>
        <v>286.39083921446172</v>
      </c>
      <c r="G141" s="72">
        <f t="shared" ref="G141:G204" si="52">H141-F141</f>
        <v>496.08617092809243</v>
      </c>
      <c r="H141" s="72">
        <f>IFERROR(-PMT(E141^1/12,Dashboard!$I$30-A141,B141),0)</f>
        <v>782.47701014255415</v>
      </c>
      <c r="I141" s="75">
        <f t="shared" si="42"/>
        <v>782.47701014255415</v>
      </c>
      <c r="J141" s="76">
        <f t="shared" ref="J141:J204" si="53">MAX(J140-L140,0)</f>
        <v>145403.39071468698</v>
      </c>
      <c r="K141" s="76">
        <f>J141*Dashboard!$K$26/12</f>
        <v>324.73423926280094</v>
      </c>
      <c r="L141" s="76">
        <f t="shared" si="43"/>
        <v>484.35160331455421</v>
      </c>
      <c r="M141" s="76">
        <f>IF(H141=0,0,IFERROR(-PMT(Dashboard!$K$26^1/12,Dashboard!$I$30,Dashboard!$I$26),0))</f>
        <v>809.08584257735515</v>
      </c>
      <c r="P141" s="59">
        <v>130</v>
      </c>
      <c r="Q141" s="28">
        <f t="shared" si="44"/>
        <v>0</v>
      </c>
      <c r="R141" s="20">
        <f>Q141/Dashboard!$I$25</f>
        <v>0</v>
      </c>
      <c r="S141" s="20">
        <f t="shared" si="45"/>
        <v>0</v>
      </c>
      <c r="T141" s="20">
        <f>IF($D$2="JA",Dashboard!$K$27-$S$11+S141,Dashboard!$K$27)</f>
        <v>2.6800000000000001E-2</v>
      </c>
      <c r="U141" s="27">
        <f t="shared" si="46"/>
        <v>0</v>
      </c>
      <c r="V141" s="26">
        <f>IF(Q141&lt;=1,0,Dashboard!$I$27/Dashboard!$I$30)</f>
        <v>0</v>
      </c>
      <c r="W141" s="28">
        <f>Q141*Dashboard!$K$27/12</f>
        <v>0</v>
      </c>
      <c r="Y141" s="59">
        <v>130</v>
      </c>
      <c r="Z141" s="67">
        <f>Dashboard!$I$28</f>
        <v>0</v>
      </c>
      <c r="AA141" s="64">
        <f>IF(Z141&lt;=1,0,Dashboard!$I$30-Y141)</f>
        <v>0</v>
      </c>
      <c r="AB141" s="64">
        <f t="shared" si="47"/>
        <v>0</v>
      </c>
      <c r="AC141" s="1">
        <f>Dashboard!$K$28</f>
        <v>2.6800000000000001E-2</v>
      </c>
      <c r="AD141" s="28">
        <f t="shared" si="48"/>
        <v>0</v>
      </c>
      <c r="AF141" s="2">
        <f t="shared" si="49"/>
        <v>144398.74246107313</v>
      </c>
      <c r="AG141" s="62">
        <f>(B141+Q141+Z141)/Dashboard!$I$25</f>
        <v>0.57759496984429248</v>
      </c>
      <c r="AH141" s="20">
        <f t="shared" si="50"/>
        <v>0</v>
      </c>
      <c r="AI141" s="20">
        <f>IF($D$2="JA",Dashboard!$K$26-$AH$11+AH141,Dashboard!$K$26)</f>
        <v>2.3800000000000002E-2</v>
      </c>
      <c r="AJ141" s="27">
        <f>Tabel2[[#This Row],[Schuldrest]]*AI141/12</f>
        <v>286.39083921446172</v>
      </c>
      <c r="AK141" s="20">
        <f>IF($D$2="JA",Dashboard!$K$27-$AH$11+AH141,Dashboard!$K$27)</f>
        <v>2.3800000000000002E-2</v>
      </c>
      <c r="AL141" s="27">
        <f t="shared" si="36"/>
        <v>0</v>
      </c>
      <c r="AM141" s="20">
        <f>IF($D$2="JA",Dashboard!$K$28-$AH$11+AH141,Dashboard!$K$28)</f>
        <v>2.3800000000000002E-2</v>
      </c>
      <c r="AN141" s="27">
        <f t="shared" si="37"/>
        <v>0</v>
      </c>
      <c r="AO141" s="63">
        <f>Tabel2[[#This Row],[Aflossing]]+V141</f>
        <v>496.08617092809243</v>
      </c>
      <c r="AP141" s="63">
        <f t="shared" si="51"/>
        <v>286.39083921446172</v>
      </c>
      <c r="AQ141" s="2">
        <f t="shared" si="38"/>
        <v>324.73423926280094</v>
      </c>
      <c r="AU141" s="20"/>
      <c r="AV141" s="20"/>
    </row>
    <row r="142" spans="1:48">
      <c r="A142" s="71">
        <v>131</v>
      </c>
      <c r="B142" s="77">
        <f t="shared" si="39"/>
        <v>143902.65629014504</v>
      </c>
      <c r="C142" s="73">
        <f>B142/Dashboard!$I$25</f>
        <v>0.57561062516058015</v>
      </c>
      <c r="D142" s="74">
        <f t="shared" si="40"/>
        <v>0</v>
      </c>
      <c r="E142" s="73">
        <f>IF($D$2="JA",Dashboard!$K$26-$D$11+D142,Dashboard!$K$26)</f>
        <v>2.3800000000000002E-2</v>
      </c>
      <c r="F142" s="72">
        <f t="shared" si="41"/>
        <v>285.40693497545436</v>
      </c>
      <c r="G142" s="72">
        <f t="shared" si="52"/>
        <v>497.07007516709979</v>
      </c>
      <c r="H142" s="72">
        <f>IFERROR(-PMT(E142^1/12,Dashboard!$I$30-A142,B142),0)</f>
        <v>782.47701014255415</v>
      </c>
      <c r="I142" s="75">
        <f t="shared" si="42"/>
        <v>782.47701014255415</v>
      </c>
      <c r="J142" s="76">
        <f t="shared" si="53"/>
        <v>144919.03911137243</v>
      </c>
      <c r="K142" s="76">
        <f>J142*Dashboard!$K$26/12</f>
        <v>323.65252068206513</v>
      </c>
      <c r="L142" s="76">
        <f t="shared" si="43"/>
        <v>485.43332189529002</v>
      </c>
      <c r="M142" s="76">
        <f>IF(H142=0,0,IFERROR(-PMT(Dashboard!$K$26^1/12,Dashboard!$I$30,Dashboard!$I$26),0))</f>
        <v>809.08584257735515</v>
      </c>
      <c r="P142" s="59">
        <v>131</v>
      </c>
      <c r="Q142" s="28">
        <f t="shared" si="44"/>
        <v>0</v>
      </c>
      <c r="R142" s="20">
        <f>Q142/Dashboard!$I$25</f>
        <v>0</v>
      </c>
      <c r="S142" s="20">
        <f t="shared" si="45"/>
        <v>0</v>
      </c>
      <c r="T142" s="20">
        <f>IF($D$2="JA",Dashboard!$K$27-$S$11+S142,Dashboard!$K$27)</f>
        <v>2.6800000000000001E-2</v>
      </c>
      <c r="U142" s="27">
        <f t="shared" si="46"/>
        <v>0</v>
      </c>
      <c r="V142" s="26">
        <f>IF(Q142&lt;=1,0,Dashboard!$I$27/Dashboard!$I$30)</f>
        <v>0</v>
      </c>
      <c r="W142" s="28">
        <f>Q142*Dashboard!$K$27/12</f>
        <v>0</v>
      </c>
      <c r="Y142" s="59">
        <v>131</v>
      </c>
      <c r="Z142" s="67">
        <f>Dashboard!$I$28</f>
        <v>0</v>
      </c>
      <c r="AA142" s="64">
        <f>IF(Z142&lt;=1,0,Dashboard!$I$30-Y142)</f>
        <v>0</v>
      </c>
      <c r="AB142" s="64">
        <f t="shared" si="47"/>
        <v>0</v>
      </c>
      <c r="AC142" s="1">
        <f>Dashboard!$K$28</f>
        <v>2.6800000000000001E-2</v>
      </c>
      <c r="AD142" s="28">
        <f t="shared" si="48"/>
        <v>0</v>
      </c>
      <c r="AF142" s="2">
        <f t="shared" si="49"/>
        <v>143902.65629014504</v>
      </c>
      <c r="AG142" s="62">
        <f>(B142+Q142+Z142)/Dashboard!$I$25</f>
        <v>0.57561062516058015</v>
      </c>
      <c r="AH142" s="20">
        <f t="shared" si="50"/>
        <v>0</v>
      </c>
      <c r="AI142" s="20">
        <f>IF($D$2="JA",Dashboard!$K$26-$AH$11+AH142,Dashboard!$K$26)</f>
        <v>2.3800000000000002E-2</v>
      </c>
      <c r="AJ142" s="27">
        <f>Tabel2[[#This Row],[Schuldrest]]*AI142/12</f>
        <v>285.40693497545436</v>
      </c>
      <c r="AK142" s="20">
        <f>IF($D$2="JA",Dashboard!$K$27-$AH$11+AH142,Dashboard!$K$27)</f>
        <v>2.3800000000000002E-2</v>
      </c>
      <c r="AL142" s="27">
        <f t="shared" si="36"/>
        <v>0</v>
      </c>
      <c r="AM142" s="20">
        <f>IF($D$2="JA",Dashboard!$K$28-$AH$11+AH142,Dashboard!$K$28)</f>
        <v>2.3800000000000002E-2</v>
      </c>
      <c r="AN142" s="27">
        <f t="shared" si="37"/>
        <v>0</v>
      </c>
      <c r="AO142" s="63">
        <f>Tabel2[[#This Row],[Aflossing]]+V142</f>
        <v>497.07007516709979</v>
      </c>
      <c r="AP142" s="63">
        <f t="shared" si="51"/>
        <v>285.40693497545436</v>
      </c>
      <c r="AQ142" s="2">
        <f t="shared" si="38"/>
        <v>323.65252068206513</v>
      </c>
      <c r="AU142" s="20"/>
      <c r="AV142" s="20"/>
    </row>
    <row r="143" spans="1:48">
      <c r="A143" s="71">
        <v>132</v>
      </c>
      <c r="B143" s="77">
        <f t="shared" si="39"/>
        <v>143405.58621497793</v>
      </c>
      <c r="C143" s="73">
        <f>B143/Dashboard!$I$25</f>
        <v>0.5736223448599117</v>
      </c>
      <c r="D143" s="74">
        <f t="shared" si="40"/>
        <v>0</v>
      </c>
      <c r="E143" s="73">
        <f>IF($D$2="JA",Dashboard!$K$26-$D$11+D143,Dashboard!$K$26)</f>
        <v>2.3800000000000002E-2</v>
      </c>
      <c r="F143" s="72">
        <f t="shared" si="41"/>
        <v>284.42107932637288</v>
      </c>
      <c r="G143" s="72">
        <f t="shared" si="52"/>
        <v>498.05593081618127</v>
      </c>
      <c r="H143" s="72">
        <f>IFERROR(-PMT(E143^1/12,Dashboard!$I$30-A143,B143),0)</f>
        <v>782.47701014255415</v>
      </c>
      <c r="I143" s="75">
        <f t="shared" si="42"/>
        <v>782.47701014255415</v>
      </c>
      <c r="J143" s="76">
        <f t="shared" si="53"/>
        <v>144433.60578947715</v>
      </c>
      <c r="K143" s="76">
        <f>J143*Dashboard!$K$26/12</f>
        <v>322.56838626316568</v>
      </c>
      <c r="L143" s="76">
        <f t="shared" si="43"/>
        <v>486.51745631418947</v>
      </c>
      <c r="M143" s="76">
        <f>IF(H143=0,0,IFERROR(-PMT(Dashboard!$K$26^1/12,Dashboard!$I$30,Dashboard!$I$26),0))</f>
        <v>809.08584257735515</v>
      </c>
      <c r="P143" s="59">
        <v>132</v>
      </c>
      <c r="Q143" s="28">
        <f t="shared" si="44"/>
        <v>0</v>
      </c>
      <c r="R143" s="20">
        <f>Q143/Dashboard!$I$25</f>
        <v>0</v>
      </c>
      <c r="S143" s="20">
        <f t="shared" si="45"/>
        <v>0</v>
      </c>
      <c r="T143" s="20">
        <f>IF($D$2="JA",Dashboard!$K$27-$S$11+S143,Dashboard!$K$27)</f>
        <v>2.6800000000000001E-2</v>
      </c>
      <c r="U143" s="27">
        <f t="shared" si="46"/>
        <v>0</v>
      </c>
      <c r="V143" s="26">
        <f>IF(Q143&lt;=1,0,Dashboard!$I$27/Dashboard!$I$30)</f>
        <v>0</v>
      </c>
      <c r="W143" s="28">
        <f>Q143*Dashboard!$K$27/12</f>
        <v>0</v>
      </c>
      <c r="Y143" s="59">
        <v>132</v>
      </c>
      <c r="Z143" s="67">
        <f>Dashboard!$I$28</f>
        <v>0</v>
      </c>
      <c r="AA143" s="64">
        <f>IF(Z143&lt;=1,0,Dashboard!$I$30-Y143)</f>
        <v>0</v>
      </c>
      <c r="AB143" s="64">
        <f t="shared" si="47"/>
        <v>0</v>
      </c>
      <c r="AC143" s="1">
        <f>Dashboard!$K$28</f>
        <v>2.6800000000000001E-2</v>
      </c>
      <c r="AD143" s="28">
        <f t="shared" si="48"/>
        <v>0</v>
      </c>
      <c r="AF143" s="2">
        <f t="shared" si="49"/>
        <v>143405.58621497793</v>
      </c>
      <c r="AG143" s="62">
        <f>(B143+Q143+Z143)/Dashboard!$I$25</f>
        <v>0.5736223448599117</v>
      </c>
      <c r="AH143" s="20">
        <f t="shared" si="50"/>
        <v>0</v>
      </c>
      <c r="AI143" s="20">
        <f>IF($D$2="JA",Dashboard!$K$26-$AH$11+AH143,Dashboard!$K$26)</f>
        <v>2.3800000000000002E-2</v>
      </c>
      <c r="AJ143" s="27">
        <f>Tabel2[[#This Row],[Schuldrest]]*AI143/12</f>
        <v>284.42107932637288</v>
      </c>
      <c r="AK143" s="20">
        <f>IF($D$2="JA",Dashboard!$K$27-$AH$11+AH143,Dashboard!$K$27)</f>
        <v>2.3800000000000002E-2</v>
      </c>
      <c r="AL143" s="27">
        <f t="shared" si="36"/>
        <v>0</v>
      </c>
      <c r="AM143" s="20">
        <f>IF($D$2="JA",Dashboard!$K$28-$AH$11+AH143,Dashboard!$K$28)</f>
        <v>2.3800000000000002E-2</v>
      </c>
      <c r="AN143" s="27">
        <f t="shared" si="37"/>
        <v>0</v>
      </c>
      <c r="AO143" s="63">
        <f>Tabel2[[#This Row],[Aflossing]]+V143</f>
        <v>498.05593081618127</v>
      </c>
      <c r="AP143" s="63">
        <f t="shared" si="51"/>
        <v>284.42107932637288</v>
      </c>
      <c r="AQ143" s="2">
        <f t="shared" si="38"/>
        <v>322.56838626316568</v>
      </c>
      <c r="AU143" s="20"/>
      <c r="AV143" s="20"/>
    </row>
    <row r="144" spans="1:48">
      <c r="A144" s="71">
        <v>133</v>
      </c>
      <c r="B144" s="77">
        <f t="shared" si="39"/>
        <v>142907.53028416174</v>
      </c>
      <c r="C144" s="73">
        <f>B144/Dashboard!$I$25</f>
        <v>0.57163012113664691</v>
      </c>
      <c r="D144" s="74">
        <f t="shared" si="40"/>
        <v>0</v>
      </c>
      <c r="E144" s="73">
        <f>IF($D$2="JA",Dashboard!$K$26-$D$11+D144,Dashboard!$K$26)</f>
        <v>2.3800000000000002E-2</v>
      </c>
      <c r="F144" s="72">
        <f t="shared" si="41"/>
        <v>283.43326839692082</v>
      </c>
      <c r="G144" s="72">
        <f t="shared" si="52"/>
        <v>499.04374174563321</v>
      </c>
      <c r="H144" s="72">
        <f>IFERROR(-PMT(E144^1/12,Dashboard!$I$30-A144,B144),0)</f>
        <v>782.47701014255404</v>
      </c>
      <c r="I144" s="75">
        <f t="shared" si="42"/>
        <v>782.47701014255404</v>
      </c>
      <c r="J144" s="76">
        <f t="shared" si="53"/>
        <v>143947.08833316297</v>
      </c>
      <c r="K144" s="76">
        <f>J144*Dashboard!$K$26/12</f>
        <v>321.48183061073064</v>
      </c>
      <c r="L144" s="76">
        <f t="shared" si="43"/>
        <v>487.60401196662451</v>
      </c>
      <c r="M144" s="76">
        <f>IF(H144=0,0,IFERROR(-PMT(Dashboard!$K$26^1/12,Dashboard!$I$30,Dashboard!$I$26),0))</f>
        <v>809.08584257735515</v>
      </c>
      <c r="P144" s="59">
        <v>133</v>
      </c>
      <c r="Q144" s="28">
        <f t="shared" si="44"/>
        <v>0</v>
      </c>
      <c r="R144" s="20">
        <f>Q144/Dashboard!$I$25</f>
        <v>0</v>
      </c>
      <c r="S144" s="20">
        <f t="shared" si="45"/>
        <v>0</v>
      </c>
      <c r="T144" s="20">
        <f>IF($D$2="JA",Dashboard!$K$27-$S$11+S144,Dashboard!$K$27)</f>
        <v>2.6800000000000001E-2</v>
      </c>
      <c r="U144" s="27">
        <f t="shared" si="46"/>
        <v>0</v>
      </c>
      <c r="V144" s="26">
        <f>IF(Q144&lt;=1,0,Dashboard!$I$27/Dashboard!$I$30)</f>
        <v>0</v>
      </c>
      <c r="W144" s="28">
        <f>Q144*Dashboard!$K$27/12</f>
        <v>0</v>
      </c>
      <c r="Y144" s="59">
        <v>133</v>
      </c>
      <c r="Z144" s="67">
        <f>Dashboard!$I$28</f>
        <v>0</v>
      </c>
      <c r="AA144" s="64">
        <f>IF(Z144&lt;=1,0,Dashboard!$I$30-Y144)</f>
        <v>0</v>
      </c>
      <c r="AB144" s="64">
        <f t="shared" si="47"/>
        <v>0</v>
      </c>
      <c r="AC144" s="1">
        <f>Dashboard!$K$28</f>
        <v>2.6800000000000001E-2</v>
      </c>
      <c r="AD144" s="28">
        <f t="shared" si="48"/>
        <v>0</v>
      </c>
      <c r="AF144" s="2">
        <f t="shared" si="49"/>
        <v>142907.53028416174</v>
      </c>
      <c r="AG144" s="62">
        <f>(B144+Q144+Z144)/Dashboard!$I$25</f>
        <v>0.57163012113664691</v>
      </c>
      <c r="AH144" s="20">
        <f t="shared" si="50"/>
        <v>0</v>
      </c>
      <c r="AI144" s="20">
        <f>IF($D$2="JA",Dashboard!$K$26-$AH$11+AH144,Dashboard!$K$26)</f>
        <v>2.3800000000000002E-2</v>
      </c>
      <c r="AJ144" s="27">
        <f>Tabel2[[#This Row],[Schuldrest]]*AI144/12</f>
        <v>283.43326839692082</v>
      </c>
      <c r="AK144" s="20">
        <f>IF($D$2="JA",Dashboard!$K$27-$AH$11+AH144,Dashboard!$K$27)</f>
        <v>2.3800000000000002E-2</v>
      </c>
      <c r="AL144" s="27">
        <f t="shared" si="36"/>
        <v>0</v>
      </c>
      <c r="AM144" s="20">
        <f>IF($D$2="JA",Dashboard!$K$28-$AH$11+AH144,Dashboard!$K$28)</f>
        <v>2.3800000000000002E-2</v>
      </c>
      <c r="AN144" s="27">
        <f t="shared" si="37"/>
        <v>0</v>
      </c>
      <c r="AO144" s="63">
        <f>Tabel2[[#This Row],[Aflossing]]+V144</f>
        <v>499.04374174563321</v>
      </c>
      <c r="AP144" s="63">
        <f t="shared" si="51"/>
        <v>283.43326839692082</v>
      </c>
      <c r="AQ144" s="2">
        <f t="shared" si="38"/>
        <v>321.48183061073064</v>
      </c>
      <c r="AU144" s="20"/>
      <c r="AV144" s="20"/>
    </row>
    <row r="145" spans="1:48">
      <c r="A145" s="71">
        <v>134</v>
      </c>
      <c r="B145" s="77">
        <f t="shared" si="39"/>
        <v>142408.4865424161</v>
      </c>
      <c r="C145" s="73">
        <f>B145/Dashboard!$I$25</f>
        <v>0.56963394616966434</v>
      </c>
      <c r="D145" s="74">
        <f t="shared" si="40"/>
        <v>0</v>
      </c>
      <c r="E145" s="73">
        <f>IF($D$2="JA",Dashboard!$K$26-$D$11+D145,Dashboard!$K$26)</f>
        <v>2.3800000000000002E-2</v>
      </c>
      <c r="F145" s="72">
        <f t="shared" si="41"/>
        <v>282.44349830912529</v>
      </c>
      <c r="G145" s="72">
        <f t="shared" si="52"/>
        <v>500.03351183342863</v>
      </c>
      <c r="H145" s="72">
        <f>IFERROR(-PMT(E145^1/12,Dashboard!$I$30-A145,B145),0)</f>
        <v>782.47701014255392</v>
      </c>
      <c r="I145" s="75">
        <f t="shared" si="42"/>
        <v>782.47701014255392</v>
      </c>
      <c r="J145" s="76">
        <f t="shared" si="53"/>
        <v>143459.48432119636</v>
      </c>
      <c r="K145" s="76">
        <f>J145*Dashboard!$K$26/12</f>
        <v>320.39284831733852</v>
      </c>
      <c r="L145" s="76">
        <f t="shared" si="43"/>
        <v>488.69299426001663</v>
      </c>
      <c r="M145" s="76">
        <f>IF(H145=0,0,IFERROR(-PMT(Dashboard!$K$26^1/12,Dashboard!$I$30,Dashboard!$I$26),0))</f>
        <v>809.08584257735515</v>
      </c>
      <c r="P145" s="59">
        <v>134</v>
      </c>
      <c r="Q145" s="28">
        <f t="shared" si="44"/>
        <v>0</v>
      </c>
      <c r="R145" s="20">
        <f>Q145/Dashboard!$I$25</f>
        <v>0</v>
      </c>
      <c r="S145" s="20">
        <f t="shared" si="45"/>
        <v>0</v>
      </c>
      <c r="T145" s="20">
        <f>IF($D$2="JA",Dashboard!$K$27-$S$11+S145,Dashboard!$K$27)</f>
        <v>2.6800000000000001E-2</v>
      </c>
      <c r="U145" s="27">
        <f t="shared" si="46"/>
        <v>0</v>
      </c>
      <c r="V145" s="26">
        <f>IF(Q145&lt;=1,0,Dashboard!$I$27/Dashboard!$I$30)</f>
        <v>0</v>
      </c>
      <c r="W145" s="28">
        <f>Q145*Dashboard!$K$27/12</f>
        <v>0</v>
      </c>
      <c r="Y145" s="59">
        <v>134</v>
      </c>
      <c r="Z145" s="67">
        <f>Dashboard!$I$28</f>
        <v>0</v>
      </c>
      <c r="AA145" s="64">
        <f>IF(Z145&lt;=1,0,Dashboard!$I$30-Y145)</f>
        <v>0</v>
      </c>
      <c r="AB145" s="64">
        <f t="shared" si="47"/>
        <v>0</v>
      </c>
      <c r="AC145" s="1">
        <f>Dashboard!$K$28</f>
        <v>2.6800000000000001E-2</v>
      </c>
      <c r="AD145" s="28">
        <f t="shared" si="48"/>
        <v>0</v>
      </c>
      <c r="AF145" s="2">
        <f t="shared" si="49"/>
        <v>142408.4865424161</v>
      </c>
      <c r="AG145" s="62">
        <f>(B145+Q145+Z145)/Dashboard!$I$25</f>
        <v>0.56963394616966434</v>
      </c>
      <c r="AH145" s="20">
        <f t="shared" si="50"/>
        <v>0</v>
      </c>
      <c r="AI145" s="20">
        <f>IF($D$2="JA",Dashboard!$K$26-$AH$11+AH145,Dashboard!$K$26)</f>
        <v>2.3800000000000002E-2</v>
      </c>
      <c r="AJ145" s="27">
        <f>Tabel2[[#This Row],[Schuldrest]]*AI145/12</f>
        <v>282.44349830912529</v>
      </c>
      <c r="AK145" s="20">
        <f>IF($D$2="JA",Dashboard!$K$27-$AH$11+AH145,Dashboard!$K$27)</f>
        <v>2.3800000000000002E-2</v>
      </c>
      <c r="AL145" s="27">
        <f t="shared" si="36"/>
        <v>0</v>
      </c>
      <c r="AM145" s="20">
        <f>IF($D$2="JA",Dashboard!$K$28-$AH$11+AH145,Dashboard!$K$28)</f>
        <v>2.3800000000000002E-2</v>
      </c>
      <c r="AN145" s="27">
        <f t="shared" si="37"/>
        <v>0</v>
      </c>
      <c r="AO145" s="63">
        <f>Tabel2[[#This Row],[Aflossing]]+V145</f>
        <v>500.03351183342863</v>
      </c>
      <c r="AP145" s="63">
        <f t="shared" si="51"/>
        <v>282.44349830912529</v>
      </c>
      <c r="AQ145" s="2">
        <f t="shared" si="38"/>
        <v>320.39284831733852</v>
      </c>
      <c r="AU145" s="20"/>
      <c r="AV145" s="20"/>
    </row>
    <row r="146" spans="1:48">
      <c r="A146" s="71">
        <v>135</v>
      </c>
      <c r="B146" s="77">
        <f t="shared" si="39"/>
        <v>141908.45303058266</v>
      </c>
      <c r="C146" s="73">
        <f>B146/Dashboard!$I$25</f>
        <v>0.56763381212233066</v>
      </c>
      <c r="D146" s="74">
        <f t="shared" si="40"/>
        <v>0</v>
      </c>
      <c r="E146" s="73">
        <f>IF($D$2="JA",Dashboard!$K$26-$D$11+D146,Dashboard!$K$26)</f>
        <v>2.3800000000000002E-2</v>
      </c>
      <c r="F146" s="72">
        <f t="shared" si="41"/>
        <v>281.45176517732233</v>
      </c>
      <c r="G146" s="72">
        <f t="shared" si="52"/>
        <v>501.02524496523159</v>
      </c>
      <c r="H146" s="72">
        <f>IFERROR(-PMT(E146^1/12,Dashboard!$I$30-A146,B146),0)</f>
        <v>782.47701014255392</v>
      </c>
      <c r="I146" s="75">
        <f t="shared" si="42"/>
        <v>782.47701014255392</v>
      </c>
      <c r="J146" s="76">
        <f t="shared" si="53"/>
        <v>142970.79132693633</v>
      </c>
      <c r="K146" s="76">
        <f>J146*Dashboard!$K$26/12</f>
        <v>319.30143396349115</v>
      </c>
      <c r="L146" s="76">
        <f t="shared" si="43"/>
        <v>489.784408613864</v>
      </c>
      <c r="M146" s="76">
        <f>IF(H146=0,0,IFERROR(-PMT(Dashboard!$K$26^1/12,Dashboard!$I$30,Dashboard!$I$26),0))</f>
        <v>809.08584257735515</v>
      </c>
      <c r="P146" s="59">
        <v>135</v>
      </c>
      <c r="Q146" s="28">
        <f t="shared" si="44"/>
        <v>0</v>
      </c>
      <c r="R146" s="20">
        <f>Q146/Dashboard!$I$25</f>
        <v>0</v>
      </c>
      <c r="S146" s="20">
        <f t="shared" si="45"/>
        <v>0</v>
      </c>
      <c r="T146" s="20">
        <f>IF($D$2="JA",Dashboard!$K$27-$S$11+S146,Dashboard!$K$27)</f>
        <v>2.6800000000000001E-2</v>
      </c>
      <c r="U146" s="27">
        <f t="shared" si="46"/>
        <v>0</v>
      </c>
      <c r="V146" s="26">
        <f>IF(Q146&lt;=1,0,Dashboard!$I$27/Dashboard!$I$30)</f>
        <v>0</v>
      </c>
      <c r="W146" s="28">
        <f>Q146*Dashboard!$K$27/12</f>
        <v>0</v>
      </c>
      <c r="Y146" s="59">
        <v>135</v>
      </c>
      <c r="Z146" s="67">
        <f>Dashboard!$I$28</f>
        <v>0</v>
      </c>
      <c r="AA146" s="64">
        <f>IF(Z146&lt;=1,0,Dashboard!$I$30-Y146)</f>
        <v>0</v>
      </c>
      <c r="AB146" s="64">
        <f t="shared" si="47"/>
        <v>0</v>
      </c>
      <c r="AC146" s="1">
        <f>Dashboard!$K$28</f>
        <v>2.6800000000000001E-2</v>
      </c>
      <c r="AD146" s="28">
        <f t="shared" si="48"/>
        <v>0</v>
      </c>
      <c r="AF146" s="2">
        <f t="shared" si="49"/>
        <v>141908.45303058266</v>
      </c>
      <c r="AG146" s="62">
        <f>(B146+Q146+Z146)/Dashboard!$I$25</f>
        <v>0.56763381212233066</v>
      </c>
      <c r="AH146" s="20">
        <f t="shared" si="50"/>
        <v>0</v>
      </c>
      <c r="AI146" s="20">
        <f>IF($D$2="JA",Dashboard!$K$26-$AH$11+AH146,Dashboard!$K$26)</f>
        <v>2.3800000000000002E-2</v>
      </c>
      <c r="AJ146" s="27">
        <f>Tabel2[[#This Row],[Schuldrest]]*AI146/12</f>
        <v>281.45176517732233</v>
      </c>
      <c r="AK146" s="20">
        <f>IF($D$2="JA",Dashboard!$K$27-$AH$11+AH146,Dashboard!$K$27)</f>
        <v>2.3800000000000002E-2</v>
      </c>
      <c r="AL146" s="27">
        <f t="shared" si="36"/>
        <v>0</v>
      </c>
      <c r="AM146" s="20">
        <f>IF($D$2="JA",Dashboard!$K$28-$AH$11+AH146,Dashboard!$K$28)</f>
        <v>2.3800000000000002E-2</v>
      </c>
      <c r="AN146" s="27">
        <f t="shared" si="37"/>
        <v>0</v>
      </c>
      <c r="AO146" s="63">
        <f>Tabel2[[#This Row],[Aflossing]]+V146</f>
        <v>501.02524496523159</v>
      </c>
      <c r="AP146" s="63">
        <f t="shared" si="51"/>
        <v>281.45176517732233</v>
      </c>
      <c r="AQ146" s="2">
        <f t="shared" si="38"/>
        <v>319.30143396349115</v>
      </c>
      <c r="AU146" s="20"/>
      <c r="AV146" s="20"/>
    </row>
    <row r="147" spans="1:48">
      <c r="A147" s="71">
        <v>136</v>
      </c>
      <c r="B147" s="77">
        <f t="shared" si="39"/>
        <v>141407.42778561744</v>
      </c>
      <c r="C147" s="73">
        <f>B147/Dashboard!$I$25</f>
        <v>0.56562971114246974</v>
      </c>
      <c r="D147" s="74">
        <f t="shared" si="40"/>
        <v>0</v>
      </c>
      <c r="E147" s="73">
        <f>IF($D$2="JA",Dashboard!$K$26-$D$11+D147,Dashboard!$K$26)</f>
        <v>2.3800000000000002E-2</v>
      </c>
      <c r="F147" s="72">
        <f t="shared" si="41"/>
        <v>280.45806510814128</v>
      </c>
      <c r="G147" s="72">
        <f t="shared" si="52"/>
        <v>502.01894503441287</v>
      </c>
      <c r="H147" s="72">
        <f>IFERROR(-PMT(E147^1/12,Dashboard!$I$30-A147,B147),0)</f>
        <v>782.47701014255415</v>
      </c>
      <c r="I147" s="75">
        <f t="shared" si="42"/>
        <v>782.47701014255415</v>
      </c>
      <c r="J147" s="76">
        <f t="shared" si="53"/>
        <v>142481.00691832247</v>
      </c>
      <c r="K147" s="76">
        <f>J147*Dashboard!$K$26/12</f>
        <v>318.20758211758687</v>
      </c>
      <c r="L147" s="76">
        <f t="shared" si="43"/>
        <v>490.87826045976828</v>
      </c>
      <c r="M147" s="76">
        <f>IF(H147=0,0,IFERROR(-PMT(Dashboard!$K$26^1/12,Dashboard!$I$30,Dashboard!$I$26),0))</f>
        <v>809.08584257735515</v>
      </c>
      <c r="P147" s="59">
        <v>136</v>
      </c>
      <c r="Q147" s="28">
        <f t="shared" si="44"/>
        <v>0</v>
      </c>
      <c r="R147" s="20">
        <f>Q147/Dashboard!$I$25</f>
        <v>0</v>
      </c>
      <c r="S147" s="20">
        <f t="shared" si="45"/>
        <v>0</v>
      </c>
      <c r="T147" s="20">
        <f>IF($D$2="JA",Dashboard!$K$27-$S$11+S147,Dashboard!$K$27)</f>
        <v>2.6800000000000001E-2</v>
      </c>
      <c r="U147" s="27">
        <f t="shared" si="46"/>
        <v>0</v>
      </c>
      <c r="V147" s="26">
        <f>IF(Q147&lt;=1,0,Dashboard!$I$27/Dashboard!$I$30)</f>
        <v>0</v>
      </c>
      <c r="W147" s="28">
        <f>Q147*Dashboard!$K$27/12</f>
        <v>0</v>
      </c>
      <c r="Y147" s="59">
        <v>136</v>
      </c>
      <c r="Z147" s="67">
        <f>Dashboard!$I$28</f>
        <v>0</v>
      </c>
      <c r="AA147" s="64">
        <f>IF(Z147&lt;=1,0,Dashboard!$I$30-Y147)</f>
        <v>0</v>
      </c>
      <c r="AB147" s="64">
        <f t="shared" si="47"/>
        <v>0</v>
      </c>
      <c r="AC147" s="1">
        <f>Dashboard!$K$28</f>
        <v>2.6800000000000001E-2</v>
      </c>
      <c r="AD147" s="28">
        <f t="shared" si="48"/>
        <v>0</v>
      </c>
      <c r="AF147" s="2">
        <f t="shared" si="49"/>
        <v>141407.42778561744</v>
      </c>
      <c r="AG147" s="62">
        <f>(B147+Q147+Z147)/Dashboard!$I$25</f>
        <v>0.56562971114246974</v>
      </c>
      <c r="AH147" s="20">
        <f t="shared" si="50"/>
        <v>0</v>
      </c>
      <c r="AI147" s="20">
        <f>IF($D$2="JA",Dashboard!$K$26-$AH$11+AH147,Dashboard!$K$26)</f>
        <v>2.3800000000000002E-2</v>
      </c>
      <c r="AJ147" s="27">
        <f>Tabel2[[#This Row],[Schuldrest]]*AI147/12</f>
        <v>280.45806510814128</v>
      </c>
      <c r="AK147" s="20">
        <f>IF($D$2="JA",Dashboard!$K$27-$AH$11+AH147,Dashboard!$K$27)</f>
        <v>2.3800000000000002E-2</v>
      </c>
      <c r="AL147" s="27">
        <f t="shared" si="36"/>
        <v>0</v>
      </c>
      <c r="AM147" s="20">
        <f>IF($D$2="JA",Dashboard!$K$28-$AH$11+AH147,Dashboard!$K$28)</f>
        <v>2.3800000000000002E-2</v>
      </c>
      <c r="AN147" s="27">
        <f t="shared" si="37"/>
        <v>0</v>
      </c>
      <c r="AO147" s="63">
        <f>Tabel2[[#This Row],[Aflossing]]+V147</f>
        <v>502.01894503441287</v>
      </c>
      <c r="AP147" s="63">
        <f t="shared" si="51"/>
        <v>280.45806510814128</v>
      </c>
      <c r="AQ147" s="2">
        <f t="shared" si="38"/>
        <v>318.20758211758687</v>
      </c>
      <c r="AU147" s="20"/>
      <c r="AV147" s="20"/>
    </row>
    <row r="148" spans="1:48">
      <c r="A148" s="71">
        <v>137</v>
      </c>
      <c r="B148" s="77">
        <f t="shared" si="39"/>
        <v>140905.40884058303</v>
      </c>
      <c r="C148" s="73">
        <f>B148/Dashboard!$I$25</f>
        <v>0.56362163536233212</v>
      </c>
      <c r="D148" s="74">
        <f t="shared" si="40"/>
        <v>0</v>
      </c>
      <c r="E148" s="73">
        <f>IF($D$2="JA",Dashboard!$K$26-$D$11+D148,Dashboard!$K$26)</f>
        <v>2.3800000000000002E-2</v>
      </c>
      <c r="F148" s="72">
        <f t="shared" si="41"/>
        <v>279.46239420048965</v>
      </c>
      <c r="G148" s="72">
        <f t="shared" si="52"/>
        <v>503.01461594206427</v>
      </c>
      <c r="H148" s="72">
        <f>IFERROR(-PMT(E148^1/12,Dashboard!$I$30-A148,B148),0)</f>
        <v>782.47701014255392</v>
      </c>
      <c r="I148" s="75">
        <f t="shared" si="42"/>
        <v>782.47701014255392</v>
      </c>
      <c r="J148" s="76">
        <f t="shared" si="53"/>
        <v>141990.12865786269</v>
      </c>
      <c r="K148" s="76">
        <f>J148*Dashboard!$K$26/12</f>
        <v>317.11128733589334</v>
      </c>
      <c r="L148" s="76">
        <f t="shared" si="43"/>
        <v>491.97455524146181</v>
      </c>
      <c r="M148" s="76">
        <f>IF(H148=0,0,IFERROR(-PMT(Dashboard!$K$26^1/12,Dashboard!$I$30,Dashboard!$I$26),0))</f>
        <v>809.08584257735515</v>
      </c>
      <c r="P148" s="59">
        <v>137</v>
      </c>
      <c r="Q148" s="28">
        <f t="shared" si="44"/>
        <v>0</v>
      </c>
      <c r="R148" s="20">
        <f>Q148/Dashboard!$I$25</f>
        <v>0</v>
      </c>
      <c r="S148" s="20">
        <f t="shared" si="45"/>
        <v>0</v>
      </c>
      <c r="T148" s="20">
        <f>IF($D$2="JA",Dashboard!$K$27-$S$11+S148,Dashboard!$K$27)</f>
        <v>2.6800000000000001E-2</v>
      </c>
      <c r="U148" s="27">
        <f t="shared" si="46"/>
        <v>0</v>
      </c>
      <c r="V148" s="26">
        <f>IF(Q148&lt;=1,0,Dashboard!$I$27/Dashboard!$I$30)</f>
        <v>0</v>
      </c>
      <c r="W148" s="28">
        <f>Q148*Dashboard!$K$27/12</f>
        <v>0</v>
      </c>
      <c r="Y148" s="59">
        <v>137</v>
      </c>
      <c r="Z148" s="67">
        <f>Dashboard!$I$28</f>
        <v>0</v>
      </c>
      <c r="AA148" s="64">
        <f>IF(Z148&lt;=1,0,Dashboard!$I$30-Y148)</f>
        <v>0</v>
      </c>
      <c r="AB148" s="64">
        <f t="shared" si="47"/>
        <v>0</v>
      </c>
      <c r="AC148" s="1">
        <f>Dashboard!$K$28</f>
        <v>2.6800000000000001E-2</v>
      </c>
      <c r="AD148" s="28">
        <f t="shared" si="48"/>
        <v>0</v>
      </c>
      <c r="AF148" s="2">
        <f t="shared" si="49"/>
        <v>140905.40884058303</v>
      </c>
      <c r="AG148" s="62">
        <f>(B148+Q148+Z148)/Dashboard!$I$25</f>
        <v>0.56362163536233212</v>
      </c>
      <c r="AH148" s="20">
        <f t="shared" si="50"/>
        <v>0</v>
      </c>
      <c r="AI148" s="20">
        <f>IF($D$2="JA",Dashboard!$K$26-$AH$11+AH148,Dashboard!$K$26)</f>
        <v>2.3800000000000002E-2</v>
      </c>
      <c r="AJ148" s="27">
        <f>Tabel2[[#This Row],[Schuldrest]]*AI148/12</f>
        <v>279.46239420048965</v>
      </c>
      <c r="AK148" s="20">
        <f>IF($D$2="JA",Dashboard!$K$27-$AH$11+AH148,Dashboard!$K$27)</f>
        <v>2.3800000000000002E-2</v>
      </c>
      <c r="AL148" s="27">
        <f t="shared" si="36"/>
        <v>0</v>
      </c>
      <c r="AM148" s="20">
        <f>IF($D$2="JA",Dashboard!$K$28-$AH$11+AH148,Dashboard!$K$28)</f>
        <v>2.3800000000000002E-2</v>
      </c>
      <c r="AN148" s="27">
        <f t="shared" si="37"/>
        <v>0</v>
      </c>
      <c r="AO148" s="63">
        <f>Tabel2[[#This Row],[Aflossing]]+V148</f>
        <v>503.01461594206427</v>
      </c>
      <c r="AP148" s="63">
        <f t="shared" si="51"/>
        <v>279.46239420048965</v>
      </c>
      <c r="AQ148" s="2">
        <f t="shared" si="38"/>
        <v>317.11128733589334</v>
      </c>
      <c r="AU148" s="20"/>
      <c r="AV148" s="20"/>
    </row>
    <row r="149" spans="1:48">
      <c r="A149" s="71">
        <v>138</v>
      </c>
      <c r="B149" s="77">
        <f t="shared" si="39"/>
        <v>140402.39422464097</v>
      </c>
      <c r="C149" s="73">
        <f>B149/Dashboard!$I$25</f>
        <v>0.56160957689856383</v>
      </c>
      <c r="D149" s="74">
        <f t="shared" si="40"/>
        <v>0</v>
      </c>
      <c r="E149" s="73">
        <f>IF($D$2="JA",Dashboard!$K$26-$D$11+D149,Dashboard!$K$26)</f>
        <v>2.3800000000000002E-2</v>
      </c>
      <c r="F149" s="72">
        <f t="shared" si="41"/>
        <v>278.46474854553793</v>
      </c>
      <c r="G149" s="72">
        <f t="shared" si="52"/>
        <v>504.01226159701611</v>
      </c>
      <c r="H149" s="72">
        <f>IFERROR(-PMT(E149^1/12,Dashboard!$I$30-A149,B149),0)</f>
        <v>782.47701014255404</v>
      </c>
      <c r="I149" s="75">
        <f t="shared" si="42"/>
        <v>782.47701014255404</v>
      </c>
      <c r="J149" s="76">
        <f t="shared" si="53"/>
        <v>141498.15410262122</v>
      </c>
      <c r="K149" s="76">
        <f>J149*Dashboard!$K$26/12</f>
        <v>316.01254416252073</v>
      </c>
      <c r="L149" s="76">
        <f t="shared" si="43"/>
        <v>493.07329841483443</v>
      </c>
      <c r="M149" s="76">
        <f>IF(H149=0,0,IFERROR(-PMT(Dashboard!$K$26^1/12,Dashboard!$I$30,Dashboard!$I$26),0))</f>
        <v>809.08584257735515</v>
      </c>
      <c r="P149" s="59">
        <v>138</v>
      </c>
      <c r="Q149" s="28">
        <f t="shared" si="44"/>
        <v>0</v>
      </c>
      <c r="R149" s="20">
        <f>Q149/Dashboard!$I$25</f>
        <v>0</v>
      </c>
      <c r="S149" s="20">
        <f t="shared" si="45"/>
        <v>0</v>
      </c>
      <c r="T149" s="20">
        <f>IF($D$2="JA",Dashboard!$K$27-$S$11+S149,Dashboard!$K$27)</f>
        <v>2.6800000000000001E-2</v>
      </c>
      <c r="U149" s="27">
        <f t="shared" si="46"/>
        <v>0</v>
      </c>
      <c r="V149" s="26">
        <f>IF(Q149&lt;=1,0,Dashboard!$I$27/Dashboard!$I$30)</f>
        <v>0</v>
      </c>
      <c r="W149" s="28">
        <f>Q149*Dashboard!$K$27/12</f>
        <v>0</v>
      </c>
      <c r="Y149" s="59">
        <v>138</v>
      </c>
      <c r="Z149" s="67">
        <f>Dashboard!$I$28</f>
        <v>0</v>
      </c>
      <c r="AA149" s="64">
        <f>IF(Z149&lt;=1,0,Dashboard!$I$30-Y149)</f>
        <v>0</v>
      </c>
      <c r="AB149" s="64">
        <f t="shared" si="47"/>
        <v>0</v>
      </c>
      <c r="AC149" s="1">
        <f>Dashboard!$K$28</f>
        <v>2.6800000000000001E-2</v>
      </c>
      <c r="AD149" s="28">
        <f t="shared" si="48"/>
        <v>0</v>
      </c>
      <c r="AF149" s="2">
        <f t="shared" si="49"/>
        <v>140402.39422464097</v>
      </c>
      <c r="AG149" s="62">
        <f>(B149+Q149+Z149)/Dashboard!$I$25</f>
        <v>0.56160957689856383</v>
      </c>
      <c r="AH149" s="20">
        <f t="shared" si="50"/>
        <v>0</v>
      </c>
      <c r="AI149" s="20">
        <f>IF($D$2="JA",Dashboard!$K$26-$AH$11+AH149,Dashboard!$K$26)</f>
        <v>2.3800000000000002E-2</v>
      </c>
      <c r="AJ149" s="27">
        <f>Tabel2[[#This Row],[Schuldrest]]*AI149/12</f>
        <v>278.46474854553793</v>
      </c>
      <c r="AK149" s="20">
        <f>IF($D$2="JA",Dashboard!$K$27-$AH$11+AH149,Dashboard!$K$27)</f>
        <v>2.3800000000000002E-2</v>
      </c>
      <c r="AL149" s="27">
        <f t="shared" si="36"/>
        <v>0</v>
      </c>
      <c r="AM149" s="20">
        <f>IF($D$2="JA",Dashboard!$K$28-$AH$11+AH149,Dashboard!$K$28)</f>
        <v>2.3800000000000002E-2</v>
      </c>
      <c r="AN149" s="27">
        <f t="shared" si="37"/>
        <v>0</v>
      </c>
      <c r="AO149" s="63">
        <f>Tabel2[[#This Row],[Aflossing]]+V149</f>
        <v>504.01226159701611</v>
      </c>
      <c r="AP149" s="63">
        <f t="shared" si="51"/>
        <v>278.46474854553793</v>
      </c>
      <c r="AQ149" s="2">
        <f t="shared" si="38"/>
        <v>316.01254416252073</v>
      </c>
      <c r="AU149" s="20"/>
      <c r="AV149" s="20"/>
    </row>
    <row r="150" spans="1:48">
      <c r="A150" s="71">
        <v>139</v>
      </c>
      <c r="B150" s="77">
        <f t="shared" si="39"/>
        <v>139898.38196304397</v>
      </c>
      <c r="C150" s="73">
        <f>B150/Dashboard!$I$25</f>
        <v>0.55959352785217586</v>
      </c>
      <c r="D150" s="74">
        <f t="shared" si="40"/>
        <v>0</v>
      </c>
      <c r="E150" s="73">
        <f>IF($D$2="JA",Dashboard!$K$26-$D$11+D150,Dashboard!$K$26)</f>
        <v>2.3800000000000002E-2</v>
      </c>
      <c r="F150" s="72">
        <f t="shared" si="41"/>
        <v>277.46512422670389</v>
      </c>
      <c r="G150" s="72">
        <f t="shared" si="52"/>
        <v>505.01188591585026</v>
      </c>
      <c r="H150" s="72">
        <f>IFERROR(-PMT(E150^1/12,Dashboard!$I$30-A150,B150),0)</f>
        <v>782.47701014255415</v>
      </c>
      <c r="I150" s="75">
        <f t="shared" si="42"/>
        <v>782.47701014255415</v>
      </c>
      <c r="J150" s="76">
        <f t="shared" si="53"/>
        <v>141005.08080420637</v>
      </c>
      <c r="K150" s="76">
        <f>J150*Dashboard!$K$26/12</f>
        <v>314.91134712939424</v>
      </c>
      <c r="L150" s="76">
        <f t="shared" si="43"/>
        <v>494.17449544796091</v>
      </c>
      <c r="M150" s="76">
        <f>IF(H150=0,0,IFERROR(-PMT(Dashboard!$K$26^1/12,Dashboard!$I$30,Dashboard!$I$26),0))</f>
        <v>809.08584257735515</v>
      </c>
      <c r="P150" s="59">
        <v>139</v>
      </c>
      <c r="Q150" s="28">
        <f t="shared" si="44"/>
        <v>0</v>
      </c>
      <c r="R150" s="20">
        <f>Q150/Dashboard!$I$25</f>
        <v>0</v>
      </c>
      <c r="S150" s="20">
        <f t="shared" si="45"/>
        <v>0</v>
      </c>
      <c r="T150" s="20">
        <f>IF($D$2="JA",Dashboard!$K$27-$S$11+S150,Dashboard!$K$27)</f>
        <v>2.6800000000000001E-2</v>
      </c>
      <c r="U150" s="27">
        <f t="shared" si="46"/>
        <v>0</v>
      </c>
      <c r="V150" s="26">
        <f>IF(Q150&lt;=1,0,Dashboard!$I$27/Dashboard!$I$30)</f>
        <v>0</v>
      </c>
      <c r="W150" s="28">
        <f>Q150*Dashboard!$K$27/12</f>
        <v>0</v>
      </c>
      <c r="Y150" s="59">
        <v>139</v>
      </c>
      <c r="Z150" s="67">
        <f>Dashboard!$I$28</f>
        <v>0</v>
      </c>
      <c r="AA150" s="64">
        <f>IF(Z150&lt;=1,0,Dashboard!$I$30-Y150)</f>
        <v>0</v>
      </c>
      <c r="AB150" s="64">
        <f t="shared" si="47"/>
        <v>0</v>
      </c>
      <c r="AC150" s="1">
        <f>Dashboard!$K$28</f>
        <v>2.6800000000000001E-2</v>
      </c>
      <c r="AD150" s="28">
        <f t="shared" si="48"/>
        <v>0</v>
      </c>
      <c r="AF150" s="2">
        <f t="shared" si="49"/>
        <v>139898.38196304397</v>
      </c>
      <c r="AG150" s="62">
        <f>(B150+Q150+Z150)/Dashboard!$I$25</f>
        <v>0.55959352785217586</v>
      </c>
      <c r="AH150" s="20">
        <f t="shared" si="50"/>
        <v>0</v>
      </c>
      <c r="AI150" s="20">
        <f>IF($D$2="JA",Dashboard!$K$26-$AH$11+AH150,Dashboard!$K$26)</f>
        <v>2.3800000000000002E-2</v>
      </c>
      <c r="AJ150" s="27">
        <f>Tabel2[[#This Row],[Schuldrest]]*AI150/12</f>
        <v>277.46512422670389</v>
      </c>
      <c r="AK150" s="20">
        <f>IF($D$2="JA",Dashboard!$K$27-$AH$11+AH150,Dashboard!$K$27)</f>
        <v>2.3800000000000002E-2</v>
      </c>
      <c r="AL150" s="27">
        <f t="shared" si="36"/>
        <v>0</v>
      </c>
      <c r="AM150" s="20">
        <f>IF($D$2="JA",Dashboard!$K$28-$AH$11+AH150,Dashboard!$K$28)</f>
        <v>2.3800000000000002E-2</v>
      </c>
      <c r="AN150" s="27">
        <f t="shared" si="37"/>
        <v>0</v>
      </c>
      <c r="AO150" s="63">
        <f>Tabel2[[#This Row],[Aflossing]]+V150</f>
        <v>505.01188591585026</v>
      </c>
      <c r="AP150" s="63">
        <f t="shared" si="51"/>
        <v>277.46512422670389</v>
      </c>
      <c r="AQ150" s="2">
        <f t="shared" si="38"/>
        <v>314.91134712939424</v>
      </c>
      <c r="AU150" s="20"/>
      <c r="AV150" s="20"/>
    </row>
    <row r="151" spans="1:48">
      <c r="A151" s="71">
        <v>140</v>
      </c>
      <c r="B151" s="77">
        <f t="shared" si="39"/>
        <v>139393.37007712811</v>
      </c>
      <c r="C151" s="73">
        <f>B151/Dashboard!$I$25</f>
        <v>0.5575734803085125</v>
      </c>
      <c r="D151" s="74">
        <f t="shared" si="40"/>
        <v>0</v>
      </c>
      <c r="E151" s="73">
        <f>IF($D$2="JA",Dashboard!$K$26-$D$11+D151,Dashboard!$K$26)</f>
        <v>2.3800000000000002E-2</v>
      </c>
      <c r="F151" s="72">
        <f t="shared" si="41"/>
        <v>276.46351731963745</v>
      </c>
      <c r="G151" s="72">
        <f t="shared" si="52"/>
        <v>506.0134928229167</v>
      </c>
      <c r="H151" s="72">
        <f>IFERROR(-PMT(E151^1/12,Dashboard!$I$30-A151,B151),0)</f>
        <v>782.47701014255415</v>
      </c>
      <c r="I151" s="75">
        <f t="shared" si="42"/>
        <v>782.47701014255415</v>
      </c>
      <c r="J151" s="76">
        <f t="shared" si="53"/>
        <v>140510.90630875842</v>
      </c>
      <c r="K151" s="76">
        <f>J151*Dashboard!$K$26/12</f>
        <v>313.80769075622715</v>
      </c>
      <c r="L151" s="76">
        <f t="shared" si="43"/>
        <v>495.27815182112801</v>
      </c>
      <c r="M151" s="76">
        <f>IF(H151=0,0,IFERROR(-PMT(Dashboard!$K$26^1/12,Dashboard!$I$30,Dashboard!$I$26),0))</f>
        <v>809.08584257735515</v>
      </c>
      <c r="P151" s="59">
        <v>140</v>
      </c>
      <c r="Q151" s="28">
        <f t="shared" si="44"/>
        <v>0</v>
      </c>
      <c r="R151" s="20">
        <f>Q151/Dashboard!$I$25</f>
        <v>0</v>
      </c>
      <c r="S151" s="20">
        <f t="shared" si="45"/>
        <v>0</v>
      </c>
      <c r="T151" s="20">
        <f>IF($D$2="JA",Dashboard!$K$27-$S$11+S151,Dashboard!$K$27)</f>
        <v>2.6800000000000001E-2</v>
      </c>
      <c r="U151" s="27">
        <f t="shared" si="46"/>
        <v>0</v>
      </c>
      <c r="V151" s="26">
        <f>IF(Q151&lt;=1,0,Dashboard!$I$27/Dashboard!$I$30)</f>
        <v>0</v>
      </c>
      <c r="W151" s="28">
        <f>Q151*Dashboard!$K$27/12</f>
        <v>0</v>
      </c>
      <c r="Y151" s="59">
        <v>140</v>
      </c>
      <c r="Z151" s="67">
        <f>Dashboard!$I$28</f>
        <v>0</v>
      </c>
      <c r="AA151" s="64">
        <f>IF(Z151&lt;=1,0,Dashboard!$I$30-Y151)</f>
        <v>0</v>
      </c>
      <c r="AB151" s="64">
        <f t="shared" si="47"/>
        <v>0</v>
      </c>
      <c r="AC151" s="1">
        <f>Dashboard!$K$28</f>
        <v>2.6800000000000001E-2</v>
      </c>
      <c r="AD151" s="28">
        <f t="shared" si="48"/>
        <v>0</v>
      </c>
      <c r="AF151" s="2">
        <f t="shared" si="49"/>
        <v>139393.37007712811</v>
      </c>
      <c r="AG151" s="62">
        <f>(B151+Q151+Z151)/Dashboard!$I$25</f>
        <v>0.5575734803085125</v>
      </c>
      <c r="AH151" s="20">
        <f t="shared" si="50"/>
        <v>0</v>
      </c>
      <c r="AI151" s="20">
        <f>IF($D$2="JA",Dashboard!$K$26-$AH$11+AH151,Dashboard!$K$26)</f>
        <v>2.3800000000000002E-2</v>
      </c>
      <c r="AJ151" s="27">
        <f>Tabel2[[#This Row],[Schuldrest]]*AI151/12</f>
        <v>276.46351731963745</v>
      </c>
      <c r="AK151" s="20">
        <f>IF($D$2="JA",Dashboard!$K$27-$AH$11+AH151,Dashboard!$K$27)</f>
        <v>2.3800000000000002E-2</v>
      </c>
      <c r="AL151" s="27">
        <f t="shared" si="36"/>
        <v>0</v>
      </c>
      <c r="AM151" s="20">
        <f>IF($D$2="JA",Dashboard!$K$28-$AH$11+AH151,Dashboard!$K$28)</f>
        <v>2.3800000000000002E-2</v>
      </c>
      <c r="AN151" s="27">
        <f t="shared" si="37"/>
        <v>0</v>
      </c>
      <c r="AO151" s="63">
        <f>Tabel2[[#This Row],[Aflossing]]+V151</f>
        <v>506.0134928229167</v>
      </c>
      <c r="AP151" s="63">
        <f t="shared" si="51"/>
        <v>276.46351731963745</v>
      </c>
      <c r="AQ151" s="2">
        <f t="shared" si="38"/>
        <v>313.80769075622715</v>
      </c>
      <c r="AU151" s="20"/>
      <c r="AV151" s="20"/>
    </row>
    <row r="152" spans="1:48">
      <c r="A152" s="71">
        <v>141</v>
      </c>
      <c r="B152" s="77">
        <f t="shared" si="39"/>
        <v>138887.35658430521</v>
      </c>
      <c r="C152" s="73">
        <f>B152/Dashboard!$I$25</f>
        <v>0.55554942633722082</v>
      </c>
      <c r="D152" s="74">
        <f t="shared" si="40"/>
        <v>0</v>
      </c>
      <c r="E152" s="73">
        <f>IF($D$2="JA",Dashboard!$K$26-$D$11+D152,Dashboard!$K$26)</f>
        <v>2.3800000000000002E-2</v>
      </c>
      <c r="F152" s="72">
        <f t="shared" si="41"/>
        <v>275.45992389220538</v>
      </c>
      <c r="G152" s="72">
        <f t="shared" si="52"/>
        <v>507.01708625034877</v>
      </c>
      <c r="H152" s="72">
        <f>IFERROR(-PMT(E152^1/12,Dashboard!$I$30-A152,B152),0)</f>
        <v>782.47701014255415</v>
      </c>
      <c r="I152" s="75">
        <f t="shared" si="42"/>
        <v>782.47701014255415</v>
      </c>
      <c r="J152" s="76">
        <f t="shared" si="53"/>
        <v>140015.62815693728</v>
      </c>
      <c r="K152" s="76">
        <f>J152*Dashboard!$K$26/12</f>
        <v>312.70156955049328</v>
      </c>
      <c r="L152" s="76">
        <f t="shared" si="43"/>
        <v>496.38427302686188</v>
      </c>
      <c r="M152" s="76">
        <f>IF(H152=0,0,IFERROR(-PMT(Dashboard!$K$26^1/12,Dashboard!$I$30,Dashboard!$I$26),0))</f>
        <v>809.08584257735515</v>
      </c>
      <c r="P152" s="59">
        <v>141</v>
      </c>
      <c r="Q152" s="28">
        <f t="shared" si="44"/>
        <v>0</v>
      </c>
      <c r="R152" s="20">
        <f>Q152/Dashboard!$I$25</f>
        <v>0</v>
      </c>
      <c r="S152" s="20">
        <f t="shared" si="45"/>
        <v>0</v>
      </c>
      <c r="T152" s="20">
        <f>IF($D$2="JA",Dashboard!$K$27-$S$11+S152,Dashboard!$K$27)</f>
        <v>2.6800000000000001E-2</v>
      </c>
      <c r="U152" s="27">
        <f t="shared" si="46"/>
        <v>0</v>
      </c>
      <c r="V152" s="26">
        <f>IF(Q152&lt;=1,0,Dashboard!$I$27/Dashboard!$I$30)</f>
        <v>0</v>
      </c>
      <c r="W152" s="28">
        <f>Q152*Dashboard!$K$27/12</f>
        <v>0</v>
      </c>
      <c r="Y152" s="59">
        <v>141</v>
      </c>
      <c r="Z152" s="67">
        <f>Dashboard!$I$28</f>
        <v>0</v>
      </c>
      <c r="AA152" s="64">
        <f>IF(Z152&lt;=1,0,Dashboard!$I$30-Y152)</f>
        <v>0</v>
      </c>
      <c r="AB152" s="64">
        <f t="shared" si="47"/>
        <v>0</v>
      </c>
      <c r="AC152" s="1">
        <f>Dashboard!$K$28</f>
        <v>2.6800000000000001E-2</v>
      </c>
      <c r="AD152" s="28">
        <f t="shared" si="48"/>
        <v>0</v>
      </c>
      <c r="AF152" s="2">
        <f t="shared" si="49"/>
        <v>138887.35658430521</v>
      </c>
      <c r="AG152" s="62">
        <f>(B152+Q152+Z152)/Dashboard!$I$25</f>
        <v>0.55554942633722082</v>
      </c>
      <c r="AH152" s="20">
        <f t="shared" si="50"/>
        <v>0</v>
      </c>
      <c r="AI152" s="20">
        <f>IF($D$2="JA",Dashboard!$K$26-$AH$11+AH152,Dashboard!$K$26)</f>
        <v>2.3800000000000002E-2</v>
      </c>
      <c r="AJ152" s="27">
        <f>Tabel2[[#This Row],[Schuldrest]]*AI152/12</f>
        <v>275.45992389220538</v>
      </c>
      <c r="AK152" s="20">
        <f>IF($D$2="JA",Dashboard!$K$27-$AH$11+AH152,Dashboard!$K$27)</f>
        <v>2.3800000000000002E-2</v>
      </c>
      <c r="AL152" s="27">
        <f t="shared" si="36"/>
        <v>0</v>
      </c>
      <c r="AM152" s="20">
        <f>IF($D$2="JA",Dashboard!$K$28-$AH$11+AH152,Dashboard!$K$28)</f>
        <v>2.3800000000000002E-2</v>
      </c>
      <c r="AN152" s="27">
        <f t="shared" si="37"/>
        <v>0</v>
      </c>
      <c r="AO152" s="63">
        <f>Tabel2[[#This Row],[Aflossing]]+V152</f>
        <v>507.01708625034877</v>
      </c>
      <c r="AP152" s="63">
        <f t="shared" si="51"/>
        <v>275.45992389220538</v>
      </c>
      <c r="AQ152" s="2">
        <f t="shared" si="38"/>
        <v>312.70156955049328</v>
      </c>
      <c r="AU152" s="20"/>
      <c r="AV152" s="20"/>
    </row>
    <row r="153" spans="1:48">
      <c r="A153" s="71">
        <v>142</v>
      </c>
      <c r="B153" s="77">
        <f t="shared" si="39"/>
        <v>138380.33949805485</v>
      </c>
      <c r="C153" s="73">
        <f>B153/Dashboard!$I$25</f>
        <v>0.55352135799221935</v>
      </c>
      <c r="D153" s="74">
        <f t="shared" si="40"/>
        <v>0</v>
      </c>
      <c r="E153" s="73">
        <f>IF($D$2="JA",Dashboard!$K$26-$D$11+D153,Dashboard!$K$26)</f>
        <v>2.3800000000000002E-2</v>
      </c>
      <c r="F153" s="72">
        <f t="shared" si="41"/>
        <v>274.45434000447545</v>
      </c>
      <c r="G153" s="72">
        <f t="shared" si="52"/>
        <v>508.02267013807858</v>
      </c>
      <c r="H153" s="72">
        <f>IFERROR(-PMT(E153^1/12,Dashboard!$I$30-A153,B153),0)</f>
        <v>782.47701014255404</v>
      </c>
      <c r="I153" s="75">
        <f t="shared" si="42"/>
        <v>782.47701014255404</v>
      </c>
      <c r="J153" s="76">
        <f t="shared" si="53"/>
        <v>139519.24388391041</v>
      </c>
      <c r="K153" s="76">
        <f>J153*Dashboard!$K$26/12</f>
        <v>311.59297800739995</v>
      </c>
      <c r="L153" s="76">
        <f t="shared" si="43"/>
        <v>497.4928645699552</v>
      </c>
      <c r="M153" s="76">
        <f>IF(H153=0,0,IFERROR(-PMT(Dashboard!$K$26^1/12,Dashboard!$I$30,Dashboard!$I$26),0))</f>
        <v>809.08584257735515</v>
      </c>
      <c r="P153" s="59">
        <v>142</v>
      </c>
      <c r="Q153" s="28">
        <f t="shared" si="44"/>
        <v>0</v>
      </c>
      <c r="R153" s="20">
        <f>Q153/Dashboard!$I$25</f>
        <v>0</v>
      </c>
      <c r="S153" s="20">
        <f t="shared" si="45"/>
        <v>0</v>
      </c>
      <c r="T153" s="20">
        <f>IF($D$2="JA",Dashboard!$K$27-$S$11+S153,Dashboard!$K$27)</f>
        <v>2.6800000000000001E-2</v>
      </c>
      <c r="U153" s="27">
        <f t="shared" si="46"/>
        <v>0</v>
      </c>
      <c r="V153" s="26">
        <f>IF(Q153&lt;=1,0,Dashboard!$I$27/Dashboard!$I$30)</f>
        <v>0</v>
      </c>
      <c r="W153" s="28">
        <f>Q153*Dashboard!$K$27/12</f>
        <v>0</v>
      </c>
      <c r="Y153" s="59">
        <v>142</v>
      </c>
      <c r="Z153" s="67">
        <f>Dashboard!$I$28</f>
        <v>0</v>
      </c>
      <c r="AA153" s="64">
        <f>IF(Z153&lt;=1,0,Dashboard!$I$30-Y153)</f>
        <v>0</v>
      </c>
      <c r="AB153" s="64">
        <f t="shared" si="47"/>
        <v>0</v>
      </c>
      <c r="AC153" s="1">
        <f>Dashboard!$K$28</f>
        <v>2.6800000000000001E-2</v>
      </c>
      <c r="AD153" s="28">
        <f t="shared" si="48"/>
        <v>0</v>
      </c>
      <c r="AF153" s="2">
        <f t="shared" si="49"/>
        <v>138380.33949805485</v>
      </c>
      <c r="AG153" s="62">
        <f>(B153+Q153+Z153)/Dashboard!$I$25</f>
        <v>0.55352135799221935</v>
      </c>
      <c r="AH153" s="20">
        <f t="shared" si="50"/>
        <v>0</v>
      </c>
      <c r="AI153" s="20">
        <f>IF($D$2="JA",Dashboard!$K$26-$AH$11+AH153,Dashboard!$K$26)</f>
        <v>2.3800000000000002E-2</v>
      </c>
      <c r="AJ153" s="27">
        <f>Tabel2[[#This Row],[Schuldrest]]*AI153/12</f>
        <v>274.45434000447545</v>
      </c>
      <c r="AK153" s="20">
        <f>IF($D$2="JA",Dashboard!$K$27-$AH$11+AH153,Dashboard!$K$27)</f>
        <v>2.3800000000000002E-2</v>
      </c>
      <c r="AL153" s="27">
        <f t="shared" si="36"/>
        <v>0</v>
      </c>
      <c r="AM153" s="20">
        <f>IF($D$2="JA",Dashboard!$K$28-$AH$11+AH153,Dashboard!$K$28)</f>
        <v>2.3800000000000002E-2</v>
      </c>
      <c r="AN153" s="27">
        <f t="shared" si="37"/>
        <v>0</v>
      </c>
      <c r="AO153" s="63">
        <f>Tabel2[[#This Row],[Aflossing]]+V153</f>
        <v>508.02267013807858</v>
      </c>
      <c r="AP153" s="63">
        <f t="shared" si="51"/>
        <v>274.45434000447545</v>
      </c>
      <c r="AQ153" s="2">
        <f t="shared" si="38"/>
        <v>311.59297800739995</v>
      </c>
      <c r="AU153" s="20"/>
      <c r="AV153" s="20"/>
    </row>
    <row r="154" spans="1:48">
      <c r="A154" s="71">
        <v>143</v>
      </c>
      <c r="B154" s="77">
        <f t="shared" si="39"/>
        <v>137872.31682791677</v>
      </c>
      <c r="C154" s="73">
        <f>B154/Dashboard!$I$25</f>
        <v>0.55148926731166714</v>
      </c>
      <c r="D154" s="74">
        <f t="shared" si="40"/>
        <v>0</v>
      </c>
      <c r="E154" s="73">
        <f>IF($D$2="JA",Dashboard!$K$26-$D$11+D154,Dashboard!$K$26)</f>
        <v>2.3800000000000002E-2</v>
      </c>
      <c r="F154" s="72">
        <f t="shared" si="41"/>
        <v>273.44676170870162</v>
      </c>
      <c r="G154" s="72">
        <f t="shared" si="52"/>
        <v>509.03024843385253</v>
      </c>
      <c r="H154" s="72">
        <f>IFERROR(-PMT(E154^1/12,Dashboard!$I$30-A154,B154),0)</f>
        <v>782.47701014255415</v>
      </c>
      <c r="I154" s="75">
        <f t="shared" si="42"/>
        <v>782.47701014255415</v>
      </c>
      <c r="J154" s="76">
        <f t="shared" si="53"/>
        <v>139021.75101934045</v>
      </c>
      <c r="K154" s="76">
        <f>J154*Dashboard!$K$26/12</f>
        <v>310.48191060986034</v>
      </c>
      <c r="L154" s="76">
        <f t="shared" si="43"/>
        <v>498.60393196749482</v>
      </c>
      <c r="M154" s="76">
        <f>IF(H154=0,0,IFERROR(-PMT(Dashboard!$K$26^1/12,Dashboard!$I$30,Dashboard!$I$26),0))</f>
        <v>809.08584257735515</v>
      </c>
      <c r="P154" s="59">
        <v>143</v>
      </c>
      <c r="Q154" s="28">
        <f t="shared" si="44"/>
        <v>0</v>
      </c>
      <c r="R154" s="20">
        <f>Q154/Dashboard!$I$25</f>
        <v>0</v>
      </c>
      <c r="S154" s="20">
        <f t="shared" si="45"/>
        <v>0</v>
      </c>
      <c r="T154" s="20">
        <f>IF($D$2="JA",Dashboard!$K$27-$S$11+S154,Dashboard!$K$27)</f>
        <v>2.6800000000000001E-2</v>
      </c>
      <c r="U154" s="27">
        <f t="shared" si="46"/>
        <v>0</v>
      </c>
      <c r="V154" s="26">
        <f>IF(Q154&lt;=1,0,Dashboard!$I$27/Dashboard!$I$30)</f>
        <v>0</v>
      </c>
      <c r="W154" s="28">
        <f>Q154*Dashboard!$K$27/12</f>
        <v>0</v>
      </c>
      <c r="Y154" s="59">
        <v>143</v>
      </c>
      <c r="Z154" s="67">
        <f>Dashboard!$I$28</f>
        <v>0</v>
      </c>
      <c r="AA154" s="64">
        <f>IF(Z154&lt;=1,0,Dashboard!$I$30-Y154)</f>
        <v>0</v>
      </c>
      <c r="AB154" s="64">
        <f t="shared" si="47"/>
        <v>0</v>
      </c>
      <c r="AC154" s="1">
        <f>Dashboard!$K$28</f>
        <v>2.6800000000000001E-2</v>
      </c>
      <c r="AD154" s="28">
        <f t="shared" si="48"/>
        <v>0</v>
      </c>
      <c r="AF154" s="2">
        <f t="shared" si="49"/>
        <v>137872.31682791677</v>
      </c>
      <c r="AG154" s="62">
        <f>(B154+Q154+Z154)/Dashboard!$I$25</f>
        <v>0.55148926731166714</v>
      </c>
      <c r="AH154" s="20">
        <f t="shared" si="50"/>
        <v>0</v>
      </c>
      <c r="AI154" s="20">
        <f>IF($D$2="JA",Dashboard!$K$26-$AH$11+AH154,Dashboard!$K$26)</f>
        <v>2.3800000000000002E-2</v>
      </c>
      <c r="AJ154" s="27">
        <f>Tabel2[[#This Row],[Schuldrest]]*AI154/12</f>
        <v>273.44676170870162</v>
      </c>
      <c r="AK154" s="20">
        <f>IF($D$2="JA",Dashboard!$K$27-$AH$11+AH154,Dashboard!$K$27)</f>
        <v>2.3800000000000002E-2</v>
      </c>
      <c r="AL154" s="27">
        <f t="shared" si="36"/>
        <v>0</v>
      </c>
      <c r="AM154" s="20">
        <f>IF($D$2="JA",Dashboard!$K$28-$AH$11+AH154,Dashboard!$K$28)</f>
        <v>2.3800000000000002E-2</v>
      </c>
      <c r="AN154" s="27">
        <f t="shared" si="37"/>
        <v>0</v>
      </c>
      <c r="AO154" s="63">
        <f>Tabel2[[#This Row],[Aflossing]]+V154</f>
        <v>509.03024843385253</v>
      </c>
      <c r="AP154" s="63">
        <f t="shared" si="51"/>
        <v>273.44676170870162</v>
      </c>
      <c r="AQ154" s="2">
        <f t="shared" si="38"/>
        <v>310.48191060986034</v>
      </c>
      <c r="AU154" s="20"/>
      <c r="AV154" s="20"/>
    </row>
    <row r="155" spans="1:48">
      <c r="A155" s="71">
        <v>144</v>
      </c>
      <c r="B155" s="77">
        <f t="shared" si="39"/>
        <v>137363.28657948293</v>
      </c>
      <c r="C155" s="73">
        <f>B155/Dashboard!$I$25</f>
        <v>0.54945314631793174</v>
      </c>
      <c r="D155" s="74">
        <f t="shared" si="40"/>
        <v>0</v>
      </c>
      <c r="E155" s="73">
        <f>IF($D$2="JA",Dashboard!$K$26-$D$11+D155,Dashboard!$K$26)</f>
        <v>2.3800000000000002E-2</v>
      </c>
      <c r="F155" s="72">
        <f t="shared" si="41"/>
        <v>272.43718504930786</v>
      </c>
      <c r="G155" s="72">
        <f t="shared" si="52"/>
        <v>510.03982509324629</v>
      </c>
      <c r="H155" s="72">
        <f>IFERROR(-PMT(E155^1/12,Dashboard!$I$30-A155,B155),0)</f>
        <v>782.47701014255415</v>
      </c>
      <c r="I155" s="75">
        <f t="shared" si="42"/>
        <v>782.47701014255415</v>
      </c>
      <c r="J155" s="76">
        <f t="shared" si="53"/>
        <v>138523.14708737296</v>
      </c>
      <c r="K155" s="76">
        <f>J155*Dashboard!$K$26/12</f>
        <v>309.36836182846628</v>
      </c>
      <c r="L155" s="76">
        <f t="shared" si="43"/>
        <v>499.71748074888887</v>
      </c>
      <c r="M155" s="76">
        <f>IF(H155=0,0,IFERROR(-PMT(Dashboard!$K$26^1/12,Dashboard!$I$30,Dashboard!$I$26),0))</f>
        <v>809.08584257735515</v>
      </c>
      <c r="P155" s="59">
        <v>144</v>
      </c>
      <c r="Q155" s="28">
        <f t="shared" si="44"/>
        <v>0</v>
      </c>
      <c r="R155" s="20">
        <f>Q155/Dashboard!$I$25</f>
        <v>0</v>
      </c>
      <c r="S155" s="20">
        <f t="shared" si="45"/>
        <v>0</v>
      </c>
      <c r="T155" s="20">
        <f>IF($D$2="JA",Dashboard!$K$27-$S$11+S155,Dashboard!$K$27)</f>
        <v>2.6800000000000001E-2</v>
      </c>
      <c r="U155" s="27">
        <f t="shared" si="46"/>
        <v>0</v>
      </c>
      <c r="V155" s="26">
        <f>IF(Q155&lt;=1,0,Dashboard!$I$27/Dashboard!$I$30)</f>
        <v>0</v>
      </c>
      <c r="W155" s="28">
        <f>Q155*Dashboard!$K$27/12</f>
        <v>0</v>
      </c>
      <c r="Y155" s="59">
        <v>144</v>
      </c>
      <c r="Z155" s="67">
        <f>Dashboard!$I$28</f>
        <v>0</v>
      </c>
      <c r="AA155" s="64">
        <f>IF(Z155&lt;=1,0,Dashboard!$I$30-Y155)</f>
        <v>0</v>
      </c>
      <c r="AB155" s="64">
        <f t="shared" si="47"/>
        <v>0</v>
      </c>
      <c r="AC155" s="1">
        <f>Dashboard!$K$28</f>
        <v>2.6800000000000001E-2</v>
      </c>
      <c r="AD155" s="28">
        <f t="shared" si="48"/>
        <v>0</v>
      </c>
      <c r="AF155" s="2">
        <f t="shared" si="49"/>
        <v>137363.28657948293</v>
      </c>
      <c r="AG155" s="62">
        <f>(B155+Q155+Z155)/Dashboard!$I$25</f>
        <v>0.54945314631793174</v>
      </c>
      <c r="AH155" s="20">
        <f t="shared" si="50"/>
        <v>0</v>
      </c>
      <c r="AI155" s="20">
        <f>IF($D$2="JA",Dashboard!$K$26-$AH$11+AH155,Dashboard!$K$26)</f>
        <v>2.3800000000000002E-2</v>
      </c>
      <c r="AJ155" s="27">
        <f>Tabel2[[#This Row],[Schuldrest]]*AI155/12</f>
        <v>272.43718504930786</v>
      </c>
      <c r="AK155" s="20">
        <f>IF($D$2="JA",Dashboard!$K$27-$AH$11+AH155,Dashboard!$K$27)</f>
        <v>2.3800000000000002E-2</v>
      </c>
      <c r="AL155" s="27">
        <f t="shared" si="36"/>
        <v>0</v>
      </c>
      <c r="AM155" s="20">
        <f>IF($D$2="JA",Dashboard!$K$28-$AH$11+AH155,Dashboard!$K$28)</f>
        <v>2.3800000000000002E-2</v>
      </c>
      <c r="AN155" s="27">
        <f t="shared" si="37"/>
        <v>0</v>
      </c>
      <c r="AO155" s="63">
        <f>Tabel2[[#This Row],[Aflossing]]+V155</f>
        <v>510.03982509324629</v>
      </c>
      <c r="AP155" s="63">
        <f t="shared" si="51"/>
        <v>272.43718504930786</v>
      </c>
      <c r="AQ155" s="2">
        <f t="shared" si="38"/>
        <v>309.36836182846628</v>
      </c>
      <c r="AU155" s="20"/>
      <c r="AV155" s="20"/>
    </row>
    <row r="156" spans="1:48">
      <c r="A156" s="71">
        <v>145</v>
      </c>
      <c r="B156" s="77">
        <f t="shared" si="39"/>
        <v>136853.24675438969</v>
      </c>
      <c r="C156" s="73">
        <f>B156/Dashboard!$I$25</f>
        <v>0.54741298701755881</v>
      </c>
      <c r="D156" s="74">
        <f t="shared" si="40"/>
        <v>0</v>
      </c>
      <c r="E156" s="73">
        <f>IF($D$2="JA",Dashboard!$K$26-$D$11+D156,Dashboard!$K$26)</f>
        <v>2.3800000000000002E-2</v>
      </c>
      <c r="F156" s="72">
        <f t="shared" si="41"/>
        <v>271.42560606287287</v>
      </c>
      <c r="G156" s="72">
        <f t="shared" si="52"/>
        <v>511.05140407968128</v>
      </c>
      <c r="H156" s="72">
        <f>IFERROR(-PMT(E156^1/12,Dashboard!$I$30-A156,B156),0)</f>
        <v>782.47701014255415</v>
      </c>
      <c r="I156" s="75">
        <f t="shared" si="42"/>
        <v>782.47701014255415</v>
      </c>
      <c r="J156" s="76">
        <f t="shared" si="53"/>
        <v>138023.42960662406</v>
      </c>
      <c r="K156" s="76">
        <f>J156*Dashboard!$K$26/12</f>
        <v>308.25232612146038</v>
      </c>
      <c r="L156" s="76">
        <f t="shared" si="43"/>
        <v>500.83351645589477</v>
      </c>
      <c r="M156" s="76">
        <f>IF(H156=0,0,IFERROR(-PMT(Dashboard!$K$26^1/12,Dashboard!$I$30,Dashboard!$I$26),0))</f>
        <v>809.08584257735515</v>
      </c>
      <c r="P156" s="59">
        <v>145</v>
      </c>
      <c r="Q156" s="28">
        <f t="shared" si="44"/>
        <v>0</v>
      </c>
      <c r="R156" s="20">
        <f>Q156/Dashboard!$I$25</f>
        <v>0</v>
      </c>
      <c r="S156" s="20">
        <f t="shared" si="45"/>
        <v>0</v>
      </c>
      <c r="T156" s="20">
        <f>IF($D$2="JA",Dashboard!$K$27-$S$11+S156,Dashboard!$K$27)</f>
        <v>2.6800000000000001E-2</v>
      </c>
      <c r="U156" s="27">
        <f t="shared" si="46"/>
        <v>0</v>
      </c>
      <c r="V156" s="26">
        <f>IF(Q156&lt;=1,0,Dashboard!$I$27/Dashboard!$I$30)</f>
        <v>0</v>
      </c>
      <c r="W156" s="28">
        <f>Q156*Dashboard!$K$27/12</f>
        <v>0</v>
      </c>
      <c r="Y156" s="59">
        <v>145</v>
      </c>
      <c r="Z156" s="67">
        <f>Dashboard!$I$28</f>
        <v>0</v>
      </c>
      <c r="AA156" s="64">
        <f>IF(Z156&lt;=1,0,Dashboard!$I$30-Y156)</f>
        <v>0</v>
      </c>
      <c r="AB156" s="64">
        <f t="shared" si="47"/>
        <v>0</v>
      </c>
      <c r="AC156" s="1">
        <f>Dashboard!$K$28</f>
        <v>2.6800000000000001E-2</v>
      </c>
      <c r="AD156" s="28">
        <f t="shared" si="48"/>
        <v>0</v>
      </c>
      <c r="AF156" s="2">
        <f t="shared" si="49"/>
        <v>136853.24675438969</v>
      </c>
      <c r="AG156" s="62">
        <f>(B156+Q156+Z156)/Dashboard!$I$25</f>
        <v>0.54741298701755881</v>
      </c>
      <c r="AH156" s="20">
        <f t="shared" si="50"/>
        <v>0</v>
      </c>
      <c r="AI156" s="20">
        <f>IF($D$2="JA",Dashboard!$K$26-$AH$11+AH156,Dashboard!$K$26)</f>
        <v>2.3800000000000002E-2</v>
      </c>
      <c r="AJ156" s="27">
        <f>Tabel2[[#This Row],[Schuldrest]]*AI156/12</f>
        <v>271.42560606287287</v>
      </c>
      <c r="AK156" s="20">
        <f>IF($D$2="JA",Dashboard!$K$27-$AH$11+AH156,Dashboard!$K$27)</f>
        <v>2.3800000000000002E-2</v>
      </c>
      <c r="AL156" s="27">
        <f t="shared" si="36"/>
        <v>0</v>
      </c>
      <c r="AM156" s="20">
        <f>IF($D$2="JA",Dashboard!$K$28-$AH$11+AH156,Dashboard!$K$28)</f>
        <v>2.3800000000000002E-2</v>
      </c>
      <c r="AN156" s="27">
        <f t="shared" si="37"/>
        <v>0</v>
      </c>
      <c r="AO156" s="63">
        <f>Tabel2[[#This Row],[Aflossing]]+V156</f>
        <v>511.05140407968128</v>
      </c>
      <c r="AP156" s="63">
        <f t="shared" si="51"/>
        <v>271.42560606287287</v>
      </c>
      <c r="AQ156" s="2">
        <f t="shared" si="38"/>
        <v>308.25232612146038</v>
      </c>
      <c r="AU156" s="20"/>
      <c r="AV156" s="20"/>
    </row>
    <row r="157" spans="1:48">
      <c r="A157" s="71">
        <v>146</v>
      </c>
      <c r="B157" s="77">
        <f t="shared" si="39"/>
        <v>136342.19535031001</v>
      </c>
      <c r="C157" s="73">
        <f>B157/Dashboard!$I$25</f>
        <v>0.54536878140124001</v>
      </c>
      <c r="D157" s="74">
        <f t="shared" si="40"/>
        <v>0</v>
      </c>
      <c r="E157" s="73">
        <f>IF($D$2="JA",Dashboard!$K$26-$D$11+D157,Dashboard!$K$26)</f>
        <v>2.3800000000000002E-2</v>
      </c>
      <c r="F157" s="72">
        <f t="shared" si="41"/>
        <v>270.41202077811488</v>
      </c>
      <c r="G157" s="72">
        <f t="shared" si="52"/>
        <v>512.06498936443938</v>
      </c>
      <c r="H157" s="72">
        <f>IFERROR(-PMT(E157^1/12,Dashboard!$I$30-A157,B157),0)</f>
        <v>782.47701014255426</v>
      </c>
      <c r="I157" s="75">
        <f t="shared" si="42"/>
        <v>782.47701014255426</v>
      </c>
      <c r="J157" s="76">
        <f t="shared" si="53"/>
        <v>137522.59609016817</v>
      </c>
      <c r="K157" s="76">
        <f>J157*Dashboard!$K$26/12</f>
        <v>307.13379793470892</v>
      </c>
      <c r="L157" s="76">
        <f t="shared" si="43"/>
        <v>501.95204464264623</v>
      </c>
      <c r="M157" s="76">
        <f>IF(H157=0,0,IFERROR(-PMT(Dashboard!$K$26^1/12,Dashboard!$I$30,Dashboard!$I$26),0))</f>
        <v>809.08584257735515</v>
      </c>
      <c r="P157" s="59">
        <v>146</v>
      </c>
      <c r="Q157" s="28">
        <f t="shared" si="44"/>
        <v>0</v>
      </c>
      <c r="R157" s="20">
        <f>Q157/Dashboard!$I$25</f>
        <v>0</v>
      </c>
      <c r="S157" s="20">
        <f t="shared" si="45"/>
        <v>0</v>
      </c>
      <c r="T157" s="20">
        <f>IF($D$2="JA",Dashboard!$K$27-$S$11+S157,Dashboard!$K$27)</f>
        <v>2.6800000000000001E-2</v>
      </c>
      <c r="U157" s="27">
        <f t="shared" si="46"/>
        <v>0</v>
      </c>
      <c r="V157" s="26">
        <f>IF(Q157&lt;=1,0,Dashboard!$I$27/Dashboard!$I$30)</f>
        <v>0</v>
      </c>
      <c r="W157" s="28">
        <f>Q157*Dashboard!$K$27/12</f>
        <v>0</v>
      </c>
      <c r="Y157" s="59">
        <v>146</v>
      </c>
      <c r="Z157" s="67">
        <f>Dashboard!$I$28</f>
        <v>0</v>
      </c>
      <c r="AA157" s="64">
        <f>IF(Z157&lt;=1,0,Dashboard!$I$30-Y157)</f>
        <v>0</v>
      </c>
      <c r="AB157" s="64">
        <f t="shared" si="47"/>
        <v>0</v>
      </c>
      <c r="AC157" s="1">
        <f>Dashboard!$K$28</f>
        <v>2.6800000000000001E-2</v>
      </c>
      <c r="AD157" s="28">
        <f t="shared" si="48"/>
        <v>0</v>
      </c>
      <c r="AF157" s="2">
        <f t="shared" si="49"/>
        <v>136342.19535031001</v>
      </c>
      <c r="AG157" s="62">
        <f>(B157+Q157+Z157)/Dashboard!$I$25</f>
        <v>0.54536878140124001</v>
      </c>
      <c r="AH157" s="20">
        <f t="shared" si="50"/>
        <v>0</v>
      </c>
      <c r="AI157" s="20">
        <f>IF($D$2="JA",Dashboard!$K$26-$AH$11+AH157,Dashboard!$K$26)</f>
        <v>2.3800000000000002E-2</v>
      </c>
      <c r="AJ157" s="27">
        <f>Tabel2[[#This Row],[Schuldrest]]*AI157/12</f>
        <v>270.41202077811488</v>
      </c>
      <c r="AK157" s="20">
        <f>IF($D$2="JA",Dashboard!$K$27-$AH$11+AH157,Dashboard!$K$27)</f>
        <v>2.3800000000000002E-2</v>
      </c>
      <c r="AL157" s="27">
        <f t="shared" si="36"/>
        <v>0</v>
      </c>
      <c r="AM157" s="20">
        <f>IF($D$2="JA",Dashboard!$K$28-$AH$11+AH157,Dashboard!$K$28)</f>
        <v>2.3800000000000002E-2</v>
      </c>
      <c r="AN157" s="27">
        <f t="shared" si="37"/>
        <v>0</v>
      </c>
      <c r="AO157" s="63">
        <f>Tabel2[[#This Row],[Aflossing]]+V157</f>
        <v>512.06498936443938</v>
      </c>
      <c r="AP157" s="63">
        <f t="shared" si="51"/>
        <v>270.41202077811488</v>
      </c>
      <c r="AQ157" s="2">
        <f t="shared" si="38"/>
        <v>307.13379793470892</v>
      </c>
      <c r="AU157" s="20"/>
      <c r="AV157" s="20"/>
    </row>
    <row r="158" spans="1:48">
      <c r="A158" s="71">
        <v>147</v>
      </c>
      <c r="B158" s="77">
        <f t="shared" si="39"/>
        <v>135830.13036094556</v>
      </c>
      <c r="C158" s="73">
        <f>B158/Dashboard!$I$25</f>
        <v>0.54332052144378229</v>
      </c>
      <c r="D158" s="74">
        <f t="shared" si="40"/>
        <v>0</v>
      </c>
      <c r="E158" s="73">
        <f>IF($D$2="JA",Dashboard!$K$26-$D$11+D158,Dashboard!$K$26)</f>
        <v>2.3800000000000002E-2</v>
      </c>
      <c r="F158" s="72">
        <f t="shared" si="41"/>
        <v>269.39642521587535</v>
      </c>
      <c r="G158" s="72">
        <f t="shared" si="52"/>
        <v>513.08058492667874</v>
      </c>
      <c r="H158" s="72">
        <f>IFERROR(-PMT(E158^1/12,Dashboard!$I$30-A158,B158),0)</f>
        <v>782.47701014255415</v>
      </c>
      <c r="I158" s="75">
        <f t="shared" si="42"/>
        <v>782.47701014255415</v>
      </c>
      <c r="J158" s="76">
        <f t="shared" si="53"/>
        <v>137020.64404552552</v>
      </c>
      <c r="K158" s="76">
        <f>J158*Dashboard!$K$26/12</f>
        <v>306.01277170167367</v>
      </c>
      <c r="L158" s="76">
        <f t="shared" si="43"/>
        <v>503.07307087568148</v>
      </c>
      <c r="M158" s="76">
        <f>IF(H158=0,0,IFERROR(-PMT(Dashboard!$K$26^1/12,Dashboard!$I$30,Dashboard!$I$26),0))</f>
        <v>809.08584257735515</v>
      </c>
      <c r="P158" s="59">
        <v>147</v>
      </c>
      <c r="Q158" s="28">
        <f t="shared" si="44"/>
        <v>0</v>
      </c>
      <c r="R158" s="20">
        <f>Q158/Dashboard!$I$25</f>
        <v>0</v>
      </c>
      <c r="S158" s="20">
        <f t="shared" si="45"/>
        <v>0</v>
      </c>
      <c r="T158" s="20">
        <f>IF($D$2="JA",Dashboard!$K$27-$S$11+S158,Dashboard!$K$27)</f>
        <v>2.6800000000000001E-2</v>
      </c>
      <c r="U158" s="27">
        <f t="shared" si="46"/>
        <v>0</v>
      </c>
      <c r="V158" s="26">
        <f>IF(Q158&lt;=1,0,Dashboard!$I$27/Dashboard!$I$30)</f>
        <v>0</v>
      </c>
      <c r="W158" s="28">
        <f>Q158*Dashboard!$K$27/12</f>
        <v>0</v>
      </c>
      <c r="Y158" s="59">
        <v>147</v>
      </c>
      <c r="Z158" s="67">
        <f>Dashboard!$I$28</f>
        <v>0</v>
      </c>
      <c r="AA158" s="64">
        <f>IF(Z158&lt;=1,0,Dashboard!$I$30-Y158)</f>
        <v>0</v>
      </c>
      <c r="AB158" s="64">
        <f t="shared" si="47"/>
        <v>0</v>
      </c>
      <c r="AC158" s="1">
        <f>Dashboard!$K$28</f>
        <v>2.6800000000000001E-2</v>
      </c>
      <c r="AD158" s="28">
        <f t="shared" si="48"/>
        <v>0</v>
      </c>
      <c r="AF158" s="2">
        <f t="shared" si="49"/>
        <v>135830.13036094556</v>
      </c>
      <c r="AG158" s="62">
        <f>(B158+Q158+Z158)/Dashboard!$I$25</f>
        <v>0.54332052144378229</v>
      </c>
      <c r="AH158" s="20">
        <f t="shared" si="50"/>
        <v>0</v>
      </c>
      <c r="AI158" s="20">
        <f>IF($D$2="JA",Dashboard!$K$26-$AH$11+AH158,Dashboard!$K$26)</f>
        <v>2.3800000000000002E-2</v>
      </c>
      <c r="AJ158" s="27">
        <f>Tabel2[[#This Row],[Schuldrest]]*AI158/12</f>
        <v>269.39642521587535</v>
      </c>
      <c r="AK158" s="20">
        <f>IF($D$2="JA",Dashboard!$K$27-$AH$11+AH158,Dashboard!$K$27)</f>
        <v>2.3800000000000002E-2</v>
      </c>
      <c r="AL158" s="27">
        <f t="shared" si="36"/>
        <v>0</v>
      </c>
      <c r="AM158" s="20">
        <f>IF($D$2="JA",Dashboard!$K$28-$AH$11+AH158,Dashboard!$K$28)</f>
        <v>2.3800000000000002E-2</v>
      </c>
      <c r="AN158" s="27">
        <f t="shared" si="37"/>
        <v>0</v>
      </c>
      <c r="AO158" s="63">
        <f>Tabel2[[#This Row],[Aflossing]]+V158</f>
        <v>513.08058492667874</v>
      </c>
      <c r="AP158" s="63">
        <f t="shared" si="51"/>
        <v>269.39642521587535</v>
      </c>
      <c r="AQ158" s="2">
        <f t="shared" si="38"/>
        <v>306.01277170167367</v>
      </c>
      <c r="AU158" s="20"/>
      <c r="AV158" s="20"/>
    </row>
    <row r="159" spans="1:48">
      <c r="A159" s="71">
        <v>148</v>
      </c>
      <c r="B159" s="77">
        <f t="shared" si="39"/>
        <v>135317.04977601889</v>
      </c>
      <c r="C159" s="73">
        <f>B159/Dashboard!$I$25</f>
        <v>0.54126819910407553</v>
      </c>
      <c r="D159" s="74">
        <f t="shared" si="40"/>
        <v>0</v>
      </c>
      <c r="E159" s="73">
        <f>IF($D$2="JA",Dashboard!$K$26-$D$11+D159,Dashboard!$K$26)</f>
        <v>2.3800000000000002E-2</v>
      </c>
      <c r="F159" s="72">
        <f t="shared" si="41"/>
        <v>268.37881538910415</v>
      </c>
      <c r="G159" s="72">
        <f t="shared" si="52"/>
        <v>514.09819475345</v>
      </c>
      <c r="H159" s="72">
        <f>IFERROR(-PMT(E159^1/12,Dashboard!$I$30-A159,B159),0)</f>
        <v>782.47701014255415</v>
      </c>
      <c r="I159" s="75">
        <f t="shared" si="42"/>
        <v>782.47701014255415</v>
      </c>
      <c r="J159" s="76">
        <f t="shared" si="53"/>
        <v>136517.57097464983</v>
      </c>
      <c r="K159" s="76">
        <f>J159*Dashboard!$K$26/12</f>
        <v>304.88924184338464</v>
      </c>
      <c r="L159" s="76">
        <f t="shared" si="43"/>
        <v>504.19660073397051</v>
      </c>
      <c r="M159" s="76">
        <f>IF(H159=0,0,IFERROR(-PMT(Dashboard!$K$26^1/12,Dashboard!$I$30,Dashboard!$I$26),0))</f>
        <v>809.08584257735515</v>
      </c>
      <c r="P159" s="59">
        <v>148</v>
      </c>
      <c r="Q159" s="28">
        <f t="shared" si="44"/>
        <v>0</v>
      </c>
      <c r="R159" s="20">
        <f>Q159/Dashboard!$I$25</f>
        <v>0</v>
      </c>
      <c r="S159" s="20">
        <f t="shared" si="45"/>
        <v>0</v>
      </c>
      <c r="T159" s="20">
        <f>IF($D$2="JA",Dashboard!$K$27-$S$11+S159,Dashboard!$K$27)</f>
        <v>2.6800000000000001E-2</v>
      </c>
      <c r="U159" s="27">
        <f t="shared" si="46"/>
        <v>0</v>
      </c>
      <c r="V159" s="26">
        <f>IF(Q159&lt;=1,0,Dashboard!$I$27/Dashboard!$I$30)</f>
        <v>0</v>
      </c>
      <c r="W159" s="28">
        <f>Q159*Dashboard!$K$27/12</f>
        <v>0</v>
      </c>
      <c r="Y159" s="59">
        <v>148</v>
      </c>
      <c r="Z159" s="67">
        <f>Dashboard!$I$28</f>
        <v>0</v>
      </c>
      <c r="AA159" s="64">
        <f>IF(Z159&lt;=1,0,Dashboard!$I$30-Y159)</f>
        <v>0</v>
      </c>
      <c r="AB159" s="64">
        <f t="shared" si="47"/>
        <v>0</v>
      </c>
      <c r="AC159" s="1">
        <f>Dashboard!$K$28</f>
        <v>2.6800000000000001E-2</v>
      </c>
      <c r="AD159" s="28">
        <f t="shared" si="48"/>
        <v>0</v>
      </c>
      <c r="AF159" s="2">
        <f t="shared" si="49"/>
        <v>135317.04977601889</v>
      </c>
      <c r="AG159" s="62">
        <f>(B159+Q159+Z159)/Dashboard!$I$25</f>
        <v>0.54126819910407553</v>
      </c>
      <c r="AH159" s="20">
        <f t="shared" si="50"/>
        <v>0</v>
      </c>
      <c r="AI159" s="20">
        <f>IF($D$2="JA",Dashboard!$K$26-$AH$11+AH159,Dashboard!$K$26)</f>
        <v>2.3800000000000002E-2</v>
      </c>
      <c r="AJ159" s="27">
        <f>Tabel2[[#This Row],[Schuldrest]]*AI159/12</f>
        <v>268.37881538910415</v>
      </c>
      <c r="AK159" s="20">
        <f>IF($D$2="JA",Dashboard!$K$27-$AH$11+AH159,Dashboard!$K$27)</f>
        <v>2.3800000000000002E-2</v>
      </c>
      <c r="AL159" s="27">
        <f t="shared" si="36"/>
        <v>0</v>
      </c>
      <c r="AM159" s="20">
        <f>IF($D$2="JA",Dashboard!$K$28-$AH$11+AH159,Dashboard!$K$28)</f>
        <v>2.3800000000000002E-2</v>
      </c>
      <c r="AN159" s="27">
        <f t="shared" si="37"/>
        <v>0</v>
      </c>
      <c r="AO159" s="63">
        <f>Tabel2[[#This Row],[Aflossing]]+V159</f>
        <v>514.09819475345</v>
      </c>
      <c r="AP159" s="63">
        <f t="shared" si="51"/>
        <v>268.37881538910415</v>
      </c>
      <c r="AQ159" s="2">
        <f t="shared" si="38"/>
        <v>304.88924184338464</v>
      </c>
      <c r="AU159" s="20"/>
      <c r="AV159" s="20"/>
    </row>
    <row r="160" spans="1:48">
      <c r="A160" s="71">
        <v>149</v>
      </c>
      <c r="B160" s="77">
        <f t="shared" si="39"/>
        <v>134802.95158126543</v>
      </c>
      <c r="C160" s="73">
        <f>B160/Dashboard!$I$25</f>
        <v>0.53921180632506172</v>
      </c>
      <c r="D160" s="74">
        <f t="shared" si="40"/>
        <v>0</v>
      </c>
      <c r="E160" s="73">
        <f>IF($D$2="JA",Dashboard!$K$26-$D$11+D160,Dashboard!$K$26)</f>
        <v>2.3800000000000002E-2</v>
      </c>
      <c r="F160" s="72">
        <f t="shared" si="41"/>
        <v>267.35918730284311</v>
      </c>
      <c r="G160" s="72">
        <f t="shared" si="52"/>
        <v>515.11782283971093</v>
      </c>
      <c r="H160" s="72">
        <f>IFERROR(-PMT(E160^1/12,Dashboard!$I$30-A160,B160),0)</f>
        <v>782.47701014255404</v>
      </c>
      <c r="I160" s="75">
        <f t="shared" si="42"/>
        <v>782.47701014255404</v>
      </c>
      <c r="J160" s="76">
        <f t="shared" si="53"/>
        <v>136013.37437391587</v>
      </c>
      <c r="K160" s="76">
        <f>J160*Dashboard!$K$26/12</f>
        <v>303.7632027684121</v>
      </c>
      <c r="L160" s="76">
        <f t="shared" si="43"/>
        <v>505.32263980894305</v>
      </c>
      <c r="M160" s="76">
        <f>IF(H160=0,0,IFERROR(-PMT(Dashboard!$K$26^1/12,Dashboard!$I$30,Dashboard!$I$26),0))</f>
        <v>809.08584257735515</v>
      </c>
      <c r="P160" s="59">
        <v>149</v>
      </c>
      <c r="Q160" s="28">
        <f t="shared" si="44"/>
        <v>0</v>
      </c>
      <c r="R160" s="20">
        <f>Q160/Dashboard!$I$25</f>
        <v>0</v>
      </c>
      <c r="S160" s="20">
        <f t="shared" si="45"/>
        <v>0</v>
      </c>
      <c r="T160" s="20">
        <f>IF($D$2="JA",Dashboard!$K$27-$S$11+S160,Dashboard!$K$27)</f>
        <v>2.6800000000000001E-2</v>
      </c>
      <c r="U160" s="27">
        <f t="shared" si="46"/>
        <v>0</v>
      </c>
      <c r="V160" s="26">
        <f>IF(Q160&lt;=1,0,Dashboard!$I$27/Dashboard!$I$30)</f>
        <v>0</v>
      </c>
      <c r="W160" s="28">
        <f>Q160*Dashboard!$K$27/12</f>
        <v>0</v>
      </c>
      <c r="Y160" s="59">
        <v>149</v>
      </c>
      <c r="Z160" s="67">
        <f>Dashboard!$I$28</f>
        <v>0</v>
      </c>
      <c r="AA160" s="64">
        <f>IF(Z160&lt;=1,0,Dashboard!$I$30-Y160)</f>
        <v>0</v>
      </c>
      <c r="AB160" s="64">
        <f t="shared" si="47"/>
        <v>0</v>
      </c>
      <c r="AC160" s="1">
        <f>Dashboard!$K$28</f>
        <v>2.6800000000000001E-2</v>
      </c>
      <c r="AD160" s="28">
        <f t="shared" si="48"/>
        <v>0</v>
      </c>
      <c r="AF160" s="2">
        <f t="shared" si="49"/>
        <v>134802.95158126543</v>
      </c>
      <c r="AG160" s="62">
        <f>(B160+Q160+Z160)/Dashboard!$I$25</f>
        <v>0.53921180632506172</v>
      </c>
      <c r="AH160" s="20">
        <f t="shared" si="50"/>
        <v>0</v>
      </c>
      <c r="AI160" s="20">
        <f>IF($D$2="JA",Dashboard!$K$26-$AH$11+AH160,Dashboard!$K$26)</f>
        <v>2.3800000000000002E-2</v>
      </c>
      <c r="AJ160" s="27">
        <f>Tabel2[[#This Row],[Schuldrest]]*AI160/12</f>
        <v>267.35918730284311</v>
      </c>
      <c r="AK160" s="20">
        <f>IF($D$2="JA",Dashboard!$K$27-$AH$11+AH160,Dashboard!$K$27)</f>
        <v>2.3800000000000002E-2</v>
      </c>
      <c r="AL160" s="27">
        <f t="shared" si="36"/>
        <v>0</v>
      </c>
      <c r="AM160" s="20">
        <f>IF($D$2="JA",Dashboard!$K$28-$AH$11+AH160,Dashboard!$K$28)</f>
        <v>2.3800000000000002E-2</v>
      </c>
      <c r="AN160" s="27">
        <f t="shared" si="37"/>
        <v>0</v>
      </c>
      <c r="AO160" s="63">
        <f>Tabel2[[#This Row],[Aflossing]]+V160</f>
        <v>515.11782283971093</v>
      </c>
      <c r="AP160" s="63">
        <f t="shared" si="51"/>
        <v>267.35918730284311</v>
      </c>
      <c r="AQ160" s="2">
        <f t="shared" si="38"/>
        <v>303.7632027684121</v>
      </c>
      <c r="AU160" s="20"/>
      <c r="AV160" s="20"/>
    </row>
    <row r="161" spans="1:48">
      <c r="A161" s="71">
        <v>150</v>
      </c>
      <c r="B161" s="77">
        <f t="shared" si="39"/>
        <v>134287.83375842572</v>
      </c>
      <c r="C161" s="73">
        <f>B161/Dashboard!$I$25</f>
        <v>0.53715133503370294</v>
      </c>
      <c r="D161" s="74">
        <f t="shared" si="40"/>
        <v>0</v>
      </c>
      <c r="E161" s="73">
        <f>IF($D$2="JA",Dashboard!$K$26-$D$11+D161,Dashboard!$K$26)</f>
        <v>2.3800000000000002E-2</v>
      </c>
      <c r="F161" s="72">
        <f t="shared" si="41"/>
        <v>266.33753695421103</v>
      </c>
      <c r="G161" s="72">
        <f t="shared" si="52"/>
        <v>516.13947318834312</v>
      </c>
      <c r="H161" s="72">
        <f>IFERROR(-PMT(E161^1/12,Dashboard!$I$30-A161,B161),0)</f>
        <v>782.47701014255415</v>
      </c>
      <c r="I161" s="75">
        <f t="shared" si="42"/>
        <v>782.47701014255415</v>
      </c>
      <c r="J161" s="76">
        <f t="shared" si="53"/>
        <v>135508.05173410694</v>
      </c>
      <c r="K161" s="76">
        <f>J161*Dashboard!$K$26/12</f>
        <v>302.6346488728388</v>
      </c>
      <c r="L161" s="76">
        <f t="shared" si="43"/>
        <v>506.45119370451636</v>
      </c>
      <c r="M161" s="76">
        <f>IF(H161=0,0,IFERROR(-PMT(Dashboard!$K$26^1/12,Dashboard!$I$30,Dashboard!$I$26),0))</f>
        <v>809.08584257735515</v>
      </c>
      <c r="P161" s="59">
        <v>150</v>
      </c>
      <c r="Q161" s="28">
        <f t="shared" si="44"/>
        <v>0</v>
      </c>
      <c r="R161" s="20">
        <f>Q161/Dashboard!$I$25</f>
        <v>0</v>
      </c>
      <c r="S161" s="20">
        <f t="shared" si="45"/>
        <v>0</v>
      </c>
      <c r="T161" s="20">
        <f>IF($D$2="JA",Dashboard!$K$27-$S$11+S161,Dashboard!$K$27)</f>
        <v>2.6800000000000001E-2</v>
      </c>
      <c r="U161" s="27">
        <f t="shared" si="46"/>
        <v>0</v>
      </c>
      <c r="V161" s="26">
        <f>IF(Q161&lt;=1,0,Dashboard!$I$27/Dashboard!$I$30)</f>
        <v>0</v>
      </c>
      <c r="W161" s="28">
        <f>Q161*Dashboard!$K$27/12</f>
        <v>0</v>
      </c>
      <c r="Y161" s="59">
        <v>150</v>
      </c>
      <c r="Z161" s="67">
        <f>Dashboard!$I$28</f>
        <v>0</v>
      </c>
      <c r="AA161" s="64">
        <f>IF(Z161&lt;=1,0,Dashboard!$I$30-Y161)</f>
        <v>0</v>
      </c>
      <c r="AB161" s="64">
        <f t="shared" si="47"/>
        <v>0</v>
      </c>
      <c r="AC161" s="1">
        <f>Dashboard!$K$28</f>
        <v>2.6800000000000001E-2</v>
      </c>
      <c r="AD161" s="28">
        <f t="shared" si="48"/>
        <v>0</v>
      </c>
      <c r="AF161" s="2">
        <f t="shared" si="49"/>
        <v>134287.83375842572</v>
      </c>
      <c r="AG161" s="62">
        <f>(B161+Q161+Z161)/Dashboard!$I$25</f>
        <v>0.53715133503370294</v>
      </c>
      <c r="AH161" s="20">
        <f t="shared" si="50"/>
        <v>0</v>
      </c>
      <c r="AI161" s="20">
        <f>IF($D$2="JA",Dashboard!$K$26-$AH$11+AH161,Dashboard!$K$26)</f>
        <v>2.3800000000000002E-2</v>
      </c>
      <c r="AJ161" s="27">
        <f>Tabel2[[#This Row],[Schuldrest]]*AI161/12</f>
        <v>266.33753695421103</v>
      </c>
      <c r="AK161" s="20">
        <f>IF($D$2="JA",Dashboard!$K$27-$AH$11+AH161,Dashboard!$K$27)</f>
        <v>2.3800000000000002E-2</v>
      </c>
      <c r="AL161" s="27">
        <f t="shared" si="36"/>
        <v>0</v>
      </c>
      <c r="AM161" s="20">
        <f>IF($D$2="JA",Dashboard!$K$28-$AH$11+AH161,Dashboard!$K$28)</f>
        <v>2.3800000000000002E-2</v>
      </c>
      <c r="AN161" s="27">
        <f t="shared" si="37"/>
        <v>0</v>
      </c>
      <c r="AO161" s="63">
        <f>Tabel2[[#This Row],[Aflossing]]+V161</f>
        <v>516.13947318834312</v>
      </c>
      <c r="AP161" s="63">
        <f t="shared" si="51"/>
        <v>266.33753695421103</v>
      </c>
      <c r="AQ161" s="2">
        <f t="shared" si="38"/>
        <v>302.6346488728388</v>
      </c>
      <c r="AU161" s="20"/>
      <c r="AV161" s="20"/>
    </row>
    <row r="162" spans="1:48">
      <c r="A162" s="71">
        <v>151</v>
      </c>
      <c r="B162" s="77">
        <f t="shared" si="39"/>
        <v>133771.69428523738</v>
      </c>
      <c r="C162" s="73">
        <f>B162/Dashboard!$I$25</f>
        <v>0.53508677714094954</v>
      </c>
      <c r="D162" s="74">
        <f t="shared" si="40"/>
        <v>0</v>
      </c>
      <c r="E162" s="73">
        <f>IF($D$2="JA",Dashboard!$K$26-$D$11+D162,Dashboard!$K$26)</f>
        <v>2.3800000000000002E-2</v>
      </c>
      <c r="F162" s="72">
        <f t="shared" si="41"/>
        <v>265.31386033238749</v>
      </c>
      <c r="G162" s="72">
        <f t="shared" si="52"/>
        <v>517.16314981016671</v>
      </c>
      <c r="H162" s="72">
        <f>IFERROR(-PMT(E162^1/12,Dashboard!$I$30-A162,B162),0)</f>
        <v>782.47701014255415</v>
      </c>
      <c r="I162" s="75">
        <f t="shared" si="42"/>
        <v>782.47701014255415</v>
      </c>
      <c r="J162" s="76">
        <f t="shared" si="53"/>
        <v>135001.60054040243</v>
      </c>
      <c r="K162" s="76">
        <f>J162*Dashboard!$K$26/12</f>
        <v>301.50357454023214</v>
      </c>
      <c r="L162" s="76">
        <f t="shared" si="43"/>
        <v>507.58226803712301</v>
      </c>
      <c r="M162" s="76">
        <f>IF(H162=0,0,IFERROR(-PMT(Dashboard!$K$26^1/12,Dashboard!$I$30,Dashboard!$I$26),0))</f>
        <v>809.08584257735515</v>
      </c>
      <c r="P162" s="59">
        <v>151</v>
      </c>
      <c r="Q162" s="28">
        <f t="shared" si="44"/>
        <v>0</v>
      </c>
      <c r="R162" s="20">
        <f>Q162/Dashboard!$I$25</f>
        <v>0</v>
      </c>
      <c r="S162" s="20">
        <f t="shared" si="45"/>
        <v>0</v>
      </c>
      <c r="T162" s="20">
        <f>IF($D$2="JA",Dashboard!$K$27-$S$11+S162,Dashboard!$K$27)</f>
        <v>2.6800000000000001E-2</v>
      </c>
      <c r="U162" s="27">
        <f t="shared" si="46"/>
        <v>0</v>
      </c>
      <c r="V162" s="26">
        <f>IF(Q162&lt;=1,0,Dashboard!$I$27/Dashboard!$I$30)</f>
        <v>0</v>
      </c>
      <c r="W162" s="28">
        <f>Q162*Dashboard!$K$27/12</f>
        <v>0</v>
      </c>
      <c r="Y162" s="59">
        <v>151</v>
      </c>
      <c r="Z162" s="67">
        <f>Dashboard!$I$28</f>
        <v>0</v>
      </c>
      <c r="AA162" s="64">
        <f>IF(Z162&lt;=1,0,Dashboard!$I$30-Y162)</f>
        <v>0</v>
      </c>
      <c r="AB162" s="64">
        <f t="shared" si="47"/>
        <v>0</v>
      </c>
      <c r="AC162" s="1">
        <f>Dashboard!$K$28</f>
        <v>2.6800000000000001E-2</v>
      </c>
      <c r="AD162" s="28">
        <f t="shared" si="48"/>
        <v>0</v>
      </c>
      <c r="AF162" s="2">
        <f t="shared" si="49"/>
        <v>133771.69428523738</v>
      </c>
      <c r="AG162" s="62">
        <f>(B162+Q162+Z162)/Dashboard!$I$25</f>
        <v>0.53508677714094954</v>
      </c>
      <c r="AH162" s="20">
        <f t="shared" si="50"/>
        <v>0</v>
      </c>
      <c r="AI162" s="20">
        <f>IF($D$2="JA",Dashboard!$K$26-$AH$11+AH162,Dashboard!$K$26)</f>
        <v>2.3800000000000002E-2</v>
      </c>
      <c r="AJ162" s="27">
        <f>Tabel2[[#This Row],[Schuldrest]]*AI162/12</f>
        <v>265.31386033238749</v>
      </c>
      <c r="AK162" s="20">
        <f>IF($D$2="JA",Dashboard!$K$27-$AH$11+AH162,Dashboard!$K$27)</f>
        <v>2.3800000000000002E-2</v>
      </c>
      <c r="AL162" s="27">
        <f t="shared" si="36"/>
        <v>0</v>
      </c>
      <c r="AM162" s="20">
        <f>IF($D$2="JA",Dashboard!$K$28-$AH$11+AH162,Dashboard!$K$28)</f>
        <v>2.3800000000000002E-2</v>
      </c>
      <c r="AN162" s="27">
        <f t="shared" si="37"/>
        <v>0</v>
      </c>
      <c r="AO162" s="63">
        <f>Tabel2[[#This Row],[Aflossing]]+V162</f>
        <v>517.16314981016671</v>
      </c>
      <c r="AP162" s="63">
        <f t="shared" si="51"/>
        <v>265.31386033238749</v>
      </c>
      <c r="AQ162" s="2">
        <f t="shared" si="38"/>
        <v>301.50357454023214</v>
      </c>
      <c r="AU162" s="20"/>
      <c r="AV162" s="20"/>
    </row>
    <row r="163" spans="1:48">
      <c r="A163" s="71">
        <v>152</v>
      </c>
      <c r="B163" s="77">
        <f t="shared" si="39"/>
        <v>133254.53113542721</v>
      </c>
      <c r="C163" s="73">
        <f>B163/Dashboard!$I$25</f>
        <v>0.53301812454170883</v>
      </c>
      <c r="D163" s="74">
        <f t="shared" si="40"/>
        <v>0</v>
      </c>
      <c r="E163" s="73">
        <f>IF($D$2="JA",Dashboard!$K$26-$D$11+D163,Dashboard!$K$26)</f>
        <v>2.3800000000000002E-2</v>
      </c>
      <c r="F163" s="72">
        <f t="shared" si="41"/>
        <v>264.28815341859735</v>
      </c>
      <c r="G163" s="72">
        <f t="shared" si="52"/>
        <v>518.18885672395686</v>
      </c>
      <c r="H163" s="72">
        <f>IFERROR(-PMT(E163^1/12,Dashboard!$I$30-A163,B163),0)</f>
        <v>782.47701014255415</v>
      </c>
      <c r="I163" s="75">
        <f t="shared" si="42"/>
        <v>782.47701014255415</v>
      </c>
      <c r="J163" s="76">
        <f t="shared" si="53"/>
        <v>134494.0182723653</v>
      </c>
      <c r="K163" s="76">
        <f>J163*Dashboard!$K$26/12</f>
        <v>300.36997414161584</v>
      </c>
      <c r="L163" s="76">
        <f t="shared" si="43"/>
        <v>508.71586843573931</v>
      </c>
      <c r="M163" s="76">
        <f>IF(H163=0,0,IFERROR(-PMT(Dashboard!$K$26^1/12,Dashboard!$I$30,Dashboard!$I$26),0))</f>
        <v>809.08584257735515</v>
      </c>
      <c r="P163" s="59">
        <v>152</v>
      </c>
      <c r="Q163" s="28">
        <f t="shared" si="44"/>
        <v>0</v>
      </c>
      <c r="R163" s="20">
        <f>Q163/Dashboard!$I$25</f>
        <v>0</v>
      </c>
      <c r="S163" s="20">
        <f t="shared" si="45"/>
        <v>0</v>
      </c>
      <c r="T163" s="20">
        <f>IF($D$2="JA",Dashboard!$K$27-$S$11+S163,Dashboard!$K$27)</f>
        <v>2.6800000000000001E-2</v>
      </c>
      <c r="U163" s="27">
        <f t="shared" si="46"/>
        <v>0</v>
      </c>
      <c r="V163" s="26">
        <f>IF(Q163&lt;=1,0,Dashboard!$I$27/Dashboard!$I$30)</f>
        <v>0</v>
      </c>
      <c r="W163" s="28">
        <f>Q163*Dashboard!$K$27/12</f>
        <v>0</v>
      </c>
      <c r="Y163" s="59">
        <v>152</v>
      </c>
      <c r="Z163" s="67">
        <f>Dashboard!$I$28</f>
        <v>0</v>
      </c>
      <c r="AA163" s="64">
        <f>IF(Z163&lt;=1,0,Dashboard!$I$30-Y163)</f>
        <v>0</v>
      </c>
      <c r="AB163" s="64">
        <f t="shared" si="47"/>
        <v>0</v>
      </c>
      <c r="AC163" s="1">
        <f>Dashboard!$K$28</f>
        <v>2.6800000000000001E-2</v>
      </c>
      <c r="AD163" s="28">
        <f t="shared" si="48"/>
        <v>0</v>
      </c>
      <c r="AF163" s="2">
        <f t="shared" si="49"/>
        <v>133254.53113542721</v>
      </c>
      <c r="AG163" s="62">
        <f>(B163+Q163+Z163)/Dashboard!$I$25</f>
        <v>0.53301812454170883</v>
      </c>
      <c r="AH163" s="20">
        <f t="shared" si="50"/>
        <v>0</v>
      </c>
      <c r="AI163" s="20">
        <f>IF($D$2="JA",Dashboard!$K$26-$AH$11+AH163,Dashboard!$K$26)</f>
        <v>2.3800000000000002E-2</v>
      </c>
      <c r="AJ163" s="27">
        <f>Tabel2[[#This Row],[Schuldrest]]*AI163/12</f>
        <v>264.28815341859735</v>
      </c>
      <c r="AK163" s="20">
        <f>IF($D$2="JA",Dashboard!$K$27-$AH$11+AH163,Dashboard!$K$27)</f>
        <v>2.3800000000000002E-2</v>
      </c>
      <c r="AL163" s="27">
        <f t="shared" si="36"/>
        <v>0</v>
      </c>
      <c r="AM163" s="20">
        <f>IF($D$2="JA",Dashboard!$K$28-$AH$11+AH163,Dashboard!$K$28)</f>
        <v>2.3800000000000002E-2</v>
      </c>
      <c r="AN163" s="27">
        <f t="shared" si="37"/>
        <v>0</v>
      </c>
      <c r="AO163" s="63">
        <f>Tabel2[[#This Row],[Aflossing]]+V163</f>
        <v>518.18885672395686</v>
      </c>
      <c r="AP163" s="63">
        <f t="shared" si="51"/>
        <v>264.28815341859735</v>
      </c>
      <c r="AQ163" s="2">
        <f t="shared" si="38"/>
        <v>300.36997414161584</v>
      </c>
      <c r="AU163" s="20"/>
      <c r="AV163" s="20"/>
    </row>
    <row r="164" spans="1:48">
      <c r="A164" s="71">
        <v>153</v>
      </c>
      <c r="B164" s="77">
        <f t="shared" si="39"/>
        <v>132736.34227870326</v>
      </c>
      <c r="C164" s="73">
        <f>B164/Dashboard!$I$25</f>
        <v>0.53094536911481305</v>
      </c>
      <c r="D164" s="74">
        <f t="shared" si="40"/>
        <v>0</v>
      </c>
      <c r="E164" s="73">
        <f>IF($D$2="JA",Dashboard!$K$26-$D$11+D164,Dashboard!$K$26)</f>
        <v>2.3800000000000002E-2</v>
      </c>
      <c r="F164" s="72">
        <f t="shared" si="41"/>
        <v>263.26041218609481</v>
      </c>
      <c r="G164" s="72">
        <f t="shared" si="52"/>
        <v>519.21659795645928</v>
      </c>
      <c r="H164" s="72">
        <f>IFERROR(-PMT(E164^1/12,Dashboard!$I$30-A164,B164),0)</f>
        <v>782.47701014255415</v>
      </c>
      <c r="I164" s="75">
        <f t="shared" si="42"/>
        <v>782.47701014255415</v>
      </c>
      <c r="J164" s="76">
        <f t="shared" si="53"/>
        <v>133985.30240392956</v>
      </c>
      <c r="K164" s="76">
        <f>J164*Dashboard!$K$26/12</f>
        <v>299.23384203544271</v>
      </c>
      <c r="L164" s="76">
        <f t="shared" si="43"/>
        <v>509.85200054191245</v>
      </c>
      <c r="M164" s="76">
        <f>IF(H164=0,0,IFERROR(-PMT(Dashboard!$K$26^1/12,Dashboard!$I$30,Dashboard!$I$26),0))</f>
        <v>809.08584257735515</v>
      </c>
      <c r="P164" s="59">
        <v>153</v>
      </c>
      <c r="Q164" s="28">
        <f t="shared" si="44"/>
        <v>0</v>
      </c>
      <c r="R164" s="20">
        <f>Q164/Dashboard!$I$25</f>
        <v>0</v>
      </c>
      <c r="S164" s="20">
        <f t="shared" si="45"/>
        <v>0</v>
      </c>
      <c r="T164" s="20">
        <f>IF($D$2="JA",Dashboard!$K$27-$S$11+S164,Dashboard!$K$27)</f>
        <v>2.6800000000000001E-2</v>
      </c>
      <c r="U164" s="27">
        <f t="shared" si="46"/>
        <v>0</v>
      </c>
      <c r="V164" s="26">
        <f>IF(Q164&lt;=1,0,Dashboard!$I$27/Dashboard!$I$30)</f>
        <v>0</v>
      </c>
      <c r="W164" s="28">
        <f>Q164*Dashboard!$K$27/12</f>
        <v>0</v>
      </c>
      <c r="Y164" s="59">
        <v>153</v>
      </c>
      <c r="Z164" s="67">
        <f>Dashboard!$I$28</f>
        <v>0</v>
      </c>
      <c r="AA164" s="64">
        <f>IF(Z164&lt;=1,0,Dashboard!$I$30-Y164)</f>
        <v>0</v>
      </c>
      <c r="AB164" s="64">
        <f t="shared" si="47"/>
        <v>0</v>
      </c>
      <c r="AC164" s="1">
        <f>Dashboard!$K$28</f>
        <v>2.6800000000000001E-2</v>
      </c>
      <c r="AD164" s="28">
        <f t="shared" si="48"/>
        <v>0</v>
      </c>
      <c r="AF164" s="2">
        <f t="shared" si="49"/>
        <v>132736.34227870326</v>
      </c>
      <c r="AG164" s="62">
        <f>(B164+Q164+Z164)/Dashboard!$I$25</f>
        <v>0.53094536911481305</v>
      </c>
      <c r="AH164" s="20">
        <f t="shared" si="50"/>
        <v>0</v>
      </c>
      <c r="AI164" s="20">
        <f>IF($D$2="JA",Dashboard!$K$26-$AH$11+AH164,Dashboard!$K$26)</f>
        <v>2.3800000000000002E-2</v>
      </c>
      <c r="AJ164" s="27">
        <f>Tabel2[[#This Row],[Schuldrest]]*AI164/12</f>
        <v>263.26041218609481</v>
      </c>
      <c r="AK164" s="20">
        <f>IF($D$2="JA",Dashboard!$K$27-$AH$11+AH164,Dashboard!$K$27)</f>
        <v>2.3800000000000002E-2</v>
      </c>
      <c r="AL164" s="27">
        <f t="shared" si="36"/>
        <v>0</v>
      </c>
      <c r="AM164" s="20">
        <f>IF($D$2="JA",Dashboard!$K$28-$AH$11+AH164,Dashboard!$K$28)</f>
        <v>2.3800000000000002E-2</v>
      </c>
      <c r="AN164" s="27">
        <f t="shared" si="37"/>
        <v>0</v>
      </c>
      <c r="AO164" s="63">
        <f>Tabel2[[#This Row],[Aflossing]]+V164</f>
        <v>519.21659795645928</v>
      </c>
      <c r="AP164" s="63">
        <f t="shared" si="51"/>
        <v>263.26041218609481</v>
      </c>
      <c r="AQ164" s="2">
        <f t="shared" si="38"/>
        <v>299.23384203544271</v>
      </c>
      <c r="AU164" s="20"/>
      <c r="AV164" s="20"/>
    </row>
    <row r="165" spans="1:48">
      <c r="A165" s="71">
        <v>154</v>
      </c>
      <c r="B165" s="77">
        <f t="shared" si="39"/>
        <v>132217.1256807468</v>
      </c>
      <c r="C165" s="73">
        <f>B165/Dashboard!$I$25</f>
        <v>0.52886850272298724</v>
      </c>
      <c r="D165" s="74">
        <f t="shared" si="40"/>
        <v>0</v>
      </c>
      <c r="E165" s="73">
        <f>IF($D$2="JA",Dashboard!$K$26-$D$11+D165,Dashboard!$K$26)</f>
        <v>2.3800000000000002E-2</v>
      </c>
      <c r="F165" s="72">
        <f t="shared" si="41"/>
        <v>262.23063260014783</v>
      </c>
      <c r="G165" s="72">
        <f t="shared" si="52"/>
        <v>520.24637754240632</v>
      </c>
      <c r="H165" s="72">
        <f>IFERROR(-PMT(E165^1/12,Dashboard!$I$30-A165,B165),0)</f>
        <v>782.47701014255415</v>
      </c>
      <c r="I165" s="75">
        <f t="shared" si="42"/>
        <v>782.47701014255415</v>
      </c>
      <c r="J165" s="76">
        <f t="shared" si="53"/>
        <v>133475.45040338763</v>
      </c>
      <c r="K165" s="76">
        <f>J165*Dashboard!$K$26/12</f>
        <v>298.09517256756573</v>
      </c>
      <c r="L165" s="76">
        <f t="shared" si="43"/>
        <v>510.99067000978943</v>
      </c>
      <c r="M165" s="76">
        <f>IF(H165=0,0,IFERROR(-PMT(Dashboard!$K$26^1/12,Dashboard!$I$30,Dashboard!$I$26),0))</f>
        <v>809.08584257735515</v>
      </c>
      <c r="P165" s="59">
        <v>154</v>
      </c>
      <c r="Q165" s="28">
        <f t="shared" si="44"/>
        <v>0</v>
      </c>
      <c r="R165" s="20">
        <f>Q165/Dashboard!$I$25</f>
        <v>0</v>
      </c>
      <c r="S165" s="20">
        <f t="shared" si="45"/>
        <v>0</v>
      </c>
      <c r="T165" s="20">
        <f>IF($D$2="JA",Dashboard!$K$27-$S$11+S165,Dashboard!$K$27)</f>
        <v>2.6800000000000001E-2</v>
      </c>
      <c r="U165" s="27">
        <f t="shared" si="46"/>
        <v>0</v>
      </c>
      <c r="V165" s="26">
        <f>IF(Q165&lt;=1,0,Dashboard!$I$27/Dashboard!$I$30)</f>
        <v>0</v>
      </c>
      <c r="W165" s="28">
        <f>Q165*Dashboard!$K$27/12</f>
        <v>0</v>
      </c>
      <c r="Y165" s="59">
        <v>154</v>
      </c>
      <c r="Z165" s="67">
        <f>Dashboard!$I$28</f>
        <v>0</v>
      </c>
      <c r="AA165" s="64">
        <f>IF(Z165&lt;=1,0,Dashboard!$I$30-Y165)</f>
        <v>0</v>
      </c>
      <c r="AB165" s="64">
        <f t="shared" si="47"/>
        <v>0</v>
      </c>
      <c r="AC165" s="1">
        <f>Dashboard!$K$28</f>
        <v>2.6800000000000001E-2</v>
      </c>
      <c r="AD165" s="28">
        <f t="shared" si="48"/>
        <v>0</v>
      </c>
      <c r="AF165" s="2">
        <f t="shared" si="49"/>
        <v>132217.1256807468</v>
      </c>
      <c r="AG165" s="62">
        <f>(B165+Q165+Z165)/Dashboard!$I$25</f>
        <v>0.52886850272298724</v>
      </c>
      <c r="AH165" s="20">
        <f t="shared" si="50"/>
        <v>0</v>
      </c>
      <c r="AI165" s="20">
        <f>IF($D$2="JA",Dashboard!$K$26-$AH$11+AH165,Dashboard!$K$26)</f>
        <v>2.3800000000000002E-2</v>
      </c>
      <c r="AJ165" s="27">
        <f>Tabel2[[#This Row],[Schuldrest]]*AI165/12</f>
        <v>262.23063260014783</v>
      </c>
      <c r="AK165" s="20">
        <f>IF($D$2="JA",Dashboard!$K$27-$AH$11+AH165,Dashboard!$K$27)</f>
        <v>2.3800000000000002E-2</v>
      </c>
      <c r="AL165" s="27">
        <f t="shared" si="36"/>
        <v>0</v>
      </c>
      <c r="AM165" s="20">
        <f>IF($D$2="JA",Dashboard!$K$28-$AH$11+AH165,Dashboard!$K$28)</f>
        <v>2.3800000000000002E-2</v>
      </c>
      <c r="AN165" s="27">
        <f t="shared" si="37"/>
        <v>0</v>
      </c>
      <c r="AO165" s="63">
        <f>Tabel2[[#This Row],[Aflossing]]+V165</f>
        <v>520.24637754240632</v>
      </c>
      <c r="AP165" s="63">
        <f t="shared" si="51"/>
        <v>262.23063260014783</v>
      </c>
      <c r="AQ165" s="2">
        <f t="shared" si="38"/>
        <v>298.09517256756573</v>
      </c>
      <c r="AU165" s="20"/>
      <c r="AV165" s="20"/>
    </row>
    <row r="166" spans="1:48">
      <c r="A166" s="71">
        <v>155</v>
      </c>
      <c r="B166" s="77">
        <f t="shared" si="39"/>
        <v>131696.87930320439</v>
      </c>
      <c r="C166" s="73">
        <f>B166/Dashboard!$I$25</f>
        <v>0.52678751721281758</v>
      </c>
      <c r="D166" s="74">
        <f t="shared" si="40"/>
        <v>0</v>
      </c>
      <c r="E166" s="73">
        <f>IF($D$2="JA",Dashboard!$K$26-$D$11+D166,Dashboard!$K$26)</f>
        <v>2.3800000000000002E-2</v>
      </c>
      <c r="F166" s="72">
        <f t="shared" si="41"/>
        <v>261.19881061802204</v>
      </c>
      <c r="G166" s="72">
        <f t="shared" si="52"/>
        <v>521.27819952453206</v>
      </c>
      <c r="H166" s="72">
        <f>IFERROR(-PMT(E166^1/12,Dashboard!$I$30-A166,B166),0)</f>
        <v>782.47701014255415</v>
      </c>
      <c r="I166" s="75">
        <f t="shared" si="42"/>
        <v>782.47701014255415</v>
      </c>
      <c r="J166" s="76">
        <f t="shared" si="53"/>
        <v>132964.45973337785</v>
      </c>
      <c r="K166" s="76">
        <f>J166*Dashboard!$K$26/12</f>
        <v>296.95396007121053</v>
      </c>
      <c r="L166" s="76">
        <f t="shared" si="43"/>
        <v>512.13188250614462</v>
      </c>
      <c r="M166" s="76">
        <f>IF(H166=0,0,IFERROR(-PMT(Dashboard!$K$26^1/12,Dashboard!$I$30,Dashboard!$I$26),0))</f>
        <v>809.08584257735515</v>
      </c>
      <c r="P166" s="59">
        <v>155</v>
      </c>
      <c r="Q166" s="28">
        <f t="shared" si="44"/>
        <v>0</v>
      </c>
      <c r="R166" s="20">
        <f>Q166/Dashboard!$I$25</f>
        <v>0</v>
      </c>
      <c r="S166" s="20">
        <f t="shared" si="45"/>
        <v>0</v>
      </c>
      <c r="T166" s="20">
        <f>IF($D$2="JA",Dashboard!$K$27-$S$11+S166,Dashboard!$K$27)</f>
        <v>2.6800000000000001E-2</v>
      </c>
      <c r="U166" s="27">
        <f t="shared" si="46"/>
        <v>0</v>
      </c>
      <c r="V166" s="26">
        <f>IF(Q166&lt;=1,0,Dashboard!$I$27/Dashboard!$I$30)</f>
        <v>0</v>
      </c>
      <c r="W166" s="28">
        <f>Q166*Dashboard!$K$27/12</f>
        <v>0</v>
      </c>
      <c r="Y166" s="59">
        <v>155</v>
      </c>
      <c r="Z166" s="67">
        <f>Dashboard!$I$28</f>
        <v>0</v>
      </c>
      <c r="AA166" s="64">
        <f>IF(Z166&lt;=1,0,Dashboard!$I$30-Y166)</f>
        <v>0</v>
      </c>
      <c r="AB166" s="64">
        <f t="shared" si="47"/>
        <v>0</v>
      </c>
      <c r="AC166" s="1">
        <f>Dashboard!$K$28</f>
        <v>2.6800000000000001E-2</v>
      </c>
      <c r="AD166" s="28">
        <f t="shared" si="48"/>
        <v>0</v>
      </c>
      <c r="AF166" s="2">
        <f t="shared" si="49"/>
        <v>131696.87930320439</v>
      </c>
      <c r="AG166" s="62">
        <f>(B166+Q166+Z166)/Dashboard!$I$25</f>
        <v>0.52678751721281758</v>
      </c>
      <c r="AH166" s="20">
        <f t="shared" si="50"/>
        <v>0</v>
      </c>
      <c r="AI166" s="20">
        <f>IF($D$2="JA",Dashboard!$K$26-$AH$11+AH166,Dashboard!$K$26)</f>
        <v>2.3800000000000002E-2</v>
      </c>
      <c r="AJ166" s="27">
        <f>Tabel2[[#This Row],[Schuldrest]]*AI166/12</f>
        <v>261.19881061802204</v>
      </c>
      <c r="AK166" s="20">
        <f>IF($D$2="JA",Dashboard!$K$27-$AH$11+AH166,Dashboard!$K$27)</f>
        <v>2.3800000000000002E-2</v>
      </c>
      <c r="AL166" s="27">
        <f t="shared" si="36"/>
        <v>0</v>
      </c>
      <c r="AM166" s="20">
        <f>IF($D$2="JA",Dashboard!$K$28-$AH$11+AH166,Dashboard!$K$28)</f>
        <v>2.3800000000000002E-2</v>
      </c>
      <c r="AN166" s="27">
        <f t="shared" si="37"/>
        <v>0</v>
      </c>
      <c r="AO166" s="63">
        <f>Tabel2[[#This Row],[Aflossing]]+V166</f>
        <v>521.27819952453206</v>
      </c>
      <c r="AP166" s="63">
        <f t="shared" si="51"/>
        <v>261.19881061802204</v>
      </c>
      <c r="AQ166" s="2">
        <f t="shared" si="38"/>
        <v>296.95396007121053</v>
      </c>
      <c r="AU166" s="20"/>
      <c r="AV166" s="20"/>
    </row>
    <row r="167" spans="1:48">
      <c r="A167" s="71">
        <v>156</v>
      </c>
      <c r="B167" s="77">
        <f t="shared" si="39"/>
        <v>131175.60110367986</v>
      </c>
      <c r="C167" s="73">
        <f>B167/Dashboard!$I$25</f>
        <v>0.52470240441471938</v>
      </c>
      <c r="D167" s="74">
        <f t="shared" si="40"/>
        <v>0</v>
      </c>
      <c r="E167" s="73">
        <f>IF($D$2="JA",Dashboard!$K$26-$D$11+D167,Dashboard!$K$26)</f>
        <v>2.3800000000000002E-2</v>
      </c>
      <c r="F167" s="72">
        <f t="shared" si="41"/>
        <v>260.16494218896509</v>
      </c>
      <c r="G167" s="72">
        <f t="shared" si="52"/>
        <v>522.31206795358912</v>
      </c>
      <c r="H167" s="72">
        <f>IFERROR(-PMT(E167^1/12,Dashboard!$I$30-A167,B167),0)</f>
        <v>782.47701014255426</v>
      </c>
      <c r="I167" s="75">
        <f t="shared" si="42"/>
        <v>782.47701014255426</v>
      </c>
      <c r="J167" s="76">
        <f t="shared" si="53"/>
        <v>132452.32785087172</v>
      </c>
      <c r="K167" s="76">
        <f>J167*Dashboard!$K$26/12</f>
        <v>295.81019886694685</v>
      </c>
      <c r="L167" s="76">
        <f t="shared" si="43"/>
        <v>513.2756437104083</v>
      </c>
      <c r="M167" s="76">
        <f>IF(H167=0,0,IFERROR(-PMT(Dashboard!$K$26^1/12,Dashboard!$I$30,Dashboard!$I$26),0))</f>
        <v>809.08584257735515</v>
      </c>
      <c r="P167" s="59">
        <v>156</v>
      </c>
      <c r="Q167" s="28">
        <f t="shared" si="44"/>
        <v>0</v>
      </c>
      <c r="R167" s="20">
        <f>Q167/Dashboard!$I$25</f>
        <v>0</v>
      </c>
      <c r="S167" s="20">
        <f t="shared" si="45"/>
        <v>0</v>
      </c>
      <c r="T167" s="20">
        <f>IF($D$2="JA",Dashboard!$K$27-$S$11+S167,Dashboard!$K$27)</f>
        <v>2.6800000000000001E-2</v>
      </c>
      <c r="U167" s="27">
        <f t="shared" si="46"/>
        <v>0</v>
      </c>
      <c r="V167" s="26">
        <f>IF(Q167&lt;=1,0,Dashboard!$I$27/Dashboard!$I$30)</f>
        <v>0</v>
      </c>
      <c r="W167" s="28">
        <f>Q167*Dashboard!$K$27/12</f>
        <v>0</v>
      </c>
      <c r="Y167" s="59">
        <v>156</v>
      </c>
      <c r="Z167" s="67">
        <f>Dashboard!$I$28</f>
        <v>0</v>
      </c>
      <c r="AA167" s="64">
        <f>IF(Z167&lt;=1,0,Dashboard!$I$30-Y167)</f>
        <v>0</v>
      </c>
      <c r="AB167" s="64">
        <f t="shared" si="47"/>
        <v>0</v>
      </c>
      <c r="AC167" s="1">
        <f>Dashboard!$K$28</f>
        <v>2.6800000000000001E-2</v>
      </c>
      <c r="AD167" s="28">
        <f t="shared" si="48"/>
        <v>0</v>
      </c>
      <c r="AF167" s="2">
        <f t="shared" si="49"/>
        <v>131175.60110367986</v>
      </c>
      <c r="AG167" s="62">
        <f>(B167+Q167+Z167)/Dashboard!$I$25</f>
        <v>0.52470240441471938</v>
      </c>
      <c r="AH167" s="20">
        <f t="shared" si="50"/>
        <v>0</v>
      </c>
      <c r="AI167" s="20">
        <f>IF($D$2="JA",Dashboard!$K$26-$AH$11+AH167,Dashboard!$K$26)</f>
        <v>2.3800000000000002E-2</v>
      </c>
      <c r="AJ167" s="27">
        <f>Tabel2[[#This Row],[Schuldrest]]*AI167/12</f>
        <v>260.16494218896509</v>
      </c>
      <c r="AK167" s="20">
        <f>IF($D$2="JA",Dashboard!$K$27-$AH$11+AH167,Dashboard!$K$27)</f>
        <v>2.3800000000000002E-2</v>
      </c>
      <c r="AL167" s="27">
        <f t="shared" si="36"/>
        <v>0</v>
      </c>
      <c r="AM167" s="20">
        <f>IF($D$2="JA",Dashboard!$K$28-$AH$11+AH167,Dashboard!$K$28)</f>
        <v>2.3800000000000002E-2</v>
      </c>
      <c r="AN167" s="27">
        <f t="shared" si="37"/>
        <v>0</v>
      </c>
      <c r="AO167" s="63">
        <f>Tabel2[[#This Row],[Aflossing]]+V167</f>
        <v>522.31206795358912</v>
      </c>
      <c r="AP167" s="63">
        <f t="shared" si="51"/>
        <v>260.16494218896509</v>
      </c>
      <c r="AQ167" s="2">
        <f t="shared" si="38"/>
        <v>295.81019886694685</v>
      </c>
      <c r="AU167" s="20"/>
      <c r="AV167" s="20"/>
    </row>
    <row r="168" spans="1:48">
      <c r="A168" s="71">
        <v>157</v>
      </c>
      <c r="B168" s="77">
        <f t="shared" si="39"/>
        <v>130653.28903572627</v>
      </c>
      <c r="C168" s="73">
        <f>B168/Dashboard!$I$25</f>
        <v>0.52261315614290504</v>
      </c>
      <c r="D168" s="74">
        <f t="shared" si="40"/>
        <v>0</v>
      </c>
      <c r="E168" s="73">
        <f>IF($D$2="JA",Dashboard!$K$26-$D$11+D168,Dashboard!$K$26)</f>
        <v>2.3800000000000002E-2</v>
      </c>
      <c r="F168" s="72">
        <f t="shared" si="41"/>
        <v>259.12902325419043</v>
      </c>
      <c r="G168" s="72">
        <f t="shared" si="52"/>
        <v>523.34798688836383</v>
      </c>
      <c r="H168" s="72">
        <f>IFERROR(-PMT(E168^1/12,Dashboard!$I$30-A168,B168),0)</f>
        <v>782.47701014255426</v>
      </c>
      <c r="I168" s="75">
        <f t="shared" si="42"/>
        <v>782.47701014255426</v>
      </c>
      <c r="J168" s="76">
        <f t="shared" si="53"/>
        <v>131939.05220716132</v>
      </c>
      <c r="K168" s="76">
        <f>J168*Dashboard!$K$26/12</f>
        <v>294.66388326266031</v>
      </c>
      <c r="L168" s="76">
        <f t="shared" si="43"/>
        <v>514.42195931469485</v>
      </c>
      <c r="M168" s="76">
        <f>IF(H168=0,0,IFERROR(-PMT(Dashboard!$K$26^1/12,Dashboard!$I$30,Dashboard!$I$26),0))</f>
        <v>809.08584257735515</v>
      </c>
      <c r="P168" s="59">
        <v>157</v>
      </c>
      <c r="Q168" s="28">
        <f t="shared" si="44"/>
        <v>0</v>
      </c>
      <c r="R168" s="20">
        <f>Q168/Dashboard!$I$25</f>
        <v>0</v>
      </c>
      <c r="S168" s="20">
        <f t="shared" si="45"/>
        <v>0</v>
      </c>
      <c r="T168" s="20">
        <f>IF($D$2="JA",Dashboard!$K$27-$S$11+S168,Dashboard!$K$27)</f>
        <v>2.6800000000000001E-2</v>
      </c>
      <c r="U168" s="27">
        <f t="shared" si="46"/>
        <v>0</v>
      </c>
      <c r="V168" s="26">
        <f>IF(Q168&lt;=1,0,Dashboard!$I$27/Dashboard!$I$30)</f>
        <v>0</v>
      </c>
      <c r="W168" s="28">
        <f>Q168*Dashboard!$K$27/12</f>
        <v>0</v>
      </c>
      <c r="Y168" s="59">
        <v>157</v>
      </c>
      <c r="Z168" s="67">
        <f>Dashboard!$I$28</f>
        <v>0</v>
      </c>
      <c r="AA168" s="64">
        <f>IF(Z168&lt;=1,0,Dashboard!$I$30-Y168)</f>
        <v>0</v>
      </c>
      <c r="AB168" s="64">
        <f t="shared" si="47"/>
        <v>0</v>
      </c>
      <c r="AC168" s="1">
        <f>Dashboard!$K$28</f>
        <v>2.6800000000000001E-2</v>
      </c>
      <c r="AD168" s="28">
        <f t="shared" si="48"/>
        <v>0</v>
      </c>
      <c r="AF168" s="2">
        <f t="shared" si="49"/>
        <v>130653.28903572627</v>
      </c>
      <c r="AG168" s="62">
        <f>(B168+Q168+Z168)/Dashboard!$I$25</f>
        <v>0.52261315614290504</v>
      </c>
      <c r="AH168" s="20">
        <f t="shared" si="50"/>
        <v>0</v>
      </c>
      <c r="AI168" s="20">
        <f>IF($D$2="JA",Dashboard!$K$26-$AH$11+AH168,Dashboard!$K$26)</f>
        <v>2.3800000000000002E-2</v>
      </c>
      <c r="AJ168" s="27">
        <f>Tabel2[[#This Row],[Schuldrest]]*AI168/12</f>
        <v>259.12902325419043</v>
      </c>
      <c r="AK168" s="20">
        <f>IF($D$2="JA",Dashboard!$K$27-$AH$11+AH168,Dashboard!$K$27)</f>
        <v>2.3800000000000002E-2</v>
      </c>
      <c r="AL168" s="27">
        <f t="shared" si="36"/>
        <v>0</v>
      </c>
      <c r="AM168" s="20">
        <f>IF($D$2="JA",Dashboard!$K$28-$AH$11+AH168,Dashboard!$K$28)</f>
        <v>2.3800000000000002E-2</v>
      </c>
      <c r="AN168" s="27">
        <f t="shared" si="37"/>
        <v>0</v>
      </c>
      <c r="AO168" s="63">
        <f>Tabel2[[#This Row],[Aflossing]]+V168</f>
        <v>523.34798688836383</v>
      </c>
      <c r="AP168" s="63">
        <f t="shared" si="51"/>
        <v>259.12902325419043</v>
      </c>
      <c r="AQ168" s="2">
        <f t="shared" si="38"/>
        <v>294.66388326266031</v>
      </c>
      <c r="AU168" s="20"/>
      <c r="AV168" s="20"/>
    </row>
    <row r="169" spans="1:48">
      <c r="A169" s="71">
        <v>158</v>
      </c>
      <c r="B169" s="77">
        <f t="shared" si="39"/>
        <v>130129.94104883791</v>
      </c>
      <c r="C169" s="73">
        <f>B169/Dashboard!$I$25</f>
        <v>0.52051976419535162</v>
      </c>
      <c r="D169" s="74">
        <f t="shared" si="40"/>
        <v>0</v>
      </c>
      <c r="E169" s="73">
        <f>IF($D$2="JA",Dashboard!$K$26-$D$11+D169,Dashboard!$K$26)</f>
        <v>2.3800000000000002E-2</v>
      </c>
      <c r="F169" s="72">
        <f t="shared" si="41"/>
        <v>258.09104974686187</v>
      </c>
      <c r="G169" s="72">
        <f t="shared" si="52"/>
        <v>524.38596039569234</v>
      </c>
      <c r="H169" s="72">
        <f>IFERROR(-PMT(E169^1/12,Dashboard!$I$30-A169,B169),0)</f>
        <v>782.47701014255426</v>
      </c>
      <c r="I169" s="75">
        <f t="shared" si="42"/>
        <v>782.47701014255426</v>
      </c>
      <c r="J169" s="76">
        <f t="shared" si="53"/>
        <v>131424.63024784662</v>
      </c>
      <c r="K169" s="76">
        <f>J169*Dashboard!$K$26/12</f>
        <v>293.51500755352413</v>
      </c>
      <c r="L169" s="76">
        <f t="shared" si="43"/>
        <v>515.57083502383102</v>
      </c>
      <c r="M169" s="76">
        <f>IF(H169=0,0,IFERROR(-PMT(Dashboard!$K$26^1/12,Dashboard!$I$30,Dashboard!$I$26),0))</f>
        <v>809.08584257735515</v>
      </c>
      <c r="P169" s="59">
        <v>158</v>
      </c>
      <c r="Q169" s="28">
        <f t="shared" si="44"/>
        <v>0</v>
      </c>
      <c r="R169" s="20">
        <f>Q169/Dashboard!$I$25</f>
        <v>0</v>
      </c>
      <c r="S169" s="20">
        <f t="shared" si="45"/>
        <v>0</v>
      </c>
      <c r="T169" s="20">
        <f>IF($D$2="JA",Dashboard!$K$27-$S$11+S169,Dashboard!$K$27)</f>
        <v>2.6800000000000001E-2</v>
      </c>
      <c r="U169" s="27">
        <f t="shared" si="46"/>
        <v>0</v>
      </c>
      <c r="V169" s="26">
        <f>IF(Q169&lt;=1,0,Dashboard!$I$27/Dashboard!$I$30)</f>
        <v>0</v>
      </c>
      <c r="W169" s="28">
        <f>Q169*Dashboard!$K$27/12</f>
        <v>0</v>
      </c>
      <c r="Y169" s="59">
        <v>158</v>
      </c>
      <c r="Z169" s="67">
        <f>Dashboard!$I$28</f>
        <v>0</v>
      </c>
      <c r="AA169" s="64">
        <f>IF(Z169&lt;=1,0,Dashboard!$I$30-Y169)</f>
        <v>0</v>
      </c>
      <c r="AB169" s="64">
        <f t="shared" si="47"/>
        <v>0</v>
      </c>
      <c r="AC169" s="1">
        <f>Dashboard!$K$28</f>
        <v>2.6800000000000001E-2</v>
      </c>
      <c r="AD169" s="28">
        <f t="shared" si="48"/>
        <v>0</v>
      </c>
      <c r="AF169" s="2">
        <f t="shared" si="49"/>
        <v>130129.94104883791</v>
      </c>
      <c r="AG169" s="62">
        <f>(B169+Q169+Z169)/Dashboard!$I$25</f>
        <v>0.52051976419535162</v>
      </c>
      <c r="AH169" s="20">
        <f t="shared" si="50"/>
        <v>0</v>
      </c>
      <c r="AI169" s="20">
        <f>IF($D$2="JA",Dashboard!$K$26-$AH$11+AH169,Dashboard!$K$26)</f>
        <v>2.3800000000000002E-2</v>
      </c>
      <c r="AJ169" s="27">
        <f>Tabel2[[#This Row],[Schuldrest]]*AI169/12</f>
        <v>258.09104974686187</v>
      </c>
      <c r="AK169" s="20">
        <f>IF($D$2="JA",Dashboard!$K$27-$AH$11+AH169,Dashboard!$K$27)</f>
        <v>2.3800000000000002E-2</v>
      </c>
      <c r="AL169" s="27">
        <f t="shared" si="36"/>
        <v>0</v>
      </c>
      <c r="AM169" s="20">
        <f>IF($D$2="JA",Dashboard!$K$28-$AH$11+AH169,Dashboard!$K$28)</f>
        <v>2.3800000000000002E-2</v>
      </c>
      <c r="AN169" s="27">
        <f t="shared" si="37"/>
        <v>0</v>
      </c>
      <c r="AO169" s="63">
        <f>Tabel2[[#This Row],[Aflossing]]+V169</f>
        <v>524.38596039569234</v>
      </c>
      <c r="AP169" s="63">
        <f t="shared" si="51"/>
        <v>258.09104974686187</v>
      </c>
      <c r="AQ169" s="2">
        <f t="shared" si="38"/>
        <v>293.51500755352413</v>
      </c>
      <c r="AU169" s="20"/>
      <c r="AV169" s="20"/>
    </row>
    <row r="170" spans="1:48">
      <c r="A170" s="71">
        <v>159</v>
      </c>
      <c r="B170" s="77">
        <f t="shared" si="39"/>
        <v>129605.55508844221</v>
      </c>
      <c r="C170" s="73">
        <f>B170/Dashboard!$I$25</f>
        <v>0.51842222035376884</v>
      </c>
      <c r="D170" s="74">
        <f t="shared" si="40"/>
        <v>0</v>
      </c>
      <c r="E170" s="73">
        <f>IF($D$2="JA",Dashboard!$K$26-$D$11+D170,Dashboard!$K$26)</f>
        <v>2.3800000000000002E-2</v>
      </c>
      <c r="F170" s="72">
        <f t="shared" si="41"/>
        <v>257.05101759207707</v>
      </c>
      <c r="G170" s="72">
        <f t="shared" si="52"/>
        <v>525.42599255047708</v>
      </c>
      <c r="H170" s="72">
        <f>IFERROR(-PMT(E170^1/12,Dashboard!$I$30-A170,B170),0)</f>
        <v>782.47701014255415</v>
      </c>
      <c r="I170" s="75">
        <f t="shared" si="42"/>
        <v>782.47701014255415</v>
      </c>
      <c r="J170" s="76">
        <f t="shared" si="53"/>
        <v>130909.0594128228</v>
      </c>
      <c r="K170" s="76">
        <f>J170*Dashboard!$K$26/12</f>
        <v>292.36356602197094</v>
      </c>
      <c r="L170" s="76">
        <f t="shared" si="43"/>
        <v>516.72227655538427</v>
      </c>
      <c r="M170" s="76">
        <f>IF(H170=0,0,IFERROR(-PMT(Dashboard!$K$26^1/12,Dashboard!$I$30,Dashboard!$I$26),0))</f>
        <v>809.08584257735515</v>
      </c>
      <c r="P170" s="59">
        <v>159</v>
      </c>
      <c r="Q170" s="28">
        <f t="shared" si="44"/>
        <v>0</v>
      </c>
      <c r="R170" s="20">
        <f>Q170/Dashboard!$I$25</f>
        <v>0</v>
      </c>
      <c r="S170" s="20">
        <f t="shared" si="45"/>
        <v>0</v>
      </c>
      <c r="T170" s="20">
        <f>IF($D$2="JA",Dashboard!$K$27-$S$11+S170,Dashboard!$K$27)</f>
        <v>2.6800000000000001E-2</v>
      </c>
      <c r="U170" s="27">
        <f t="shared" si="46"/>
        <v>0</v>
      </c>
      <c r="V170" s="26">
        <f>IF(Q170&lt;=1,0,Dashboard!$I$27/Dashboard!$I$30)</f>
        <v>0</v>
      </c>
      <c r="W170" s="28">
        <f>Q170*Dashboard!$K$27/12</f>
        <v>0</v>
      </c>
      <c r="Y170" s="59">
        <v>159</v>
      </c>
      <c r="Z170" s="67">
        <f>Dashboard!$I$28</f>
        <v>0</v>
      </c>
      <c r="AA170" s="64">
        <f>IF(Z170&lt;=1,0,Dashboard!$I$30-Y170)</f>
        <v>0</v>
      </c>
      <c r="AB170" s="64">
        <f t="shared" si="47"/>
        <v>0</v>
      </c>
      <c r="AC170" s="1">
        <f>Dashboard!$K$28</f>
        <v>2.6800000000000001E-2</v>
      </c>
      <c r="AD170" s="28">
        <f t="shared" si="48"/>
        <v>0</v>
      </c>
      <c r="AF170" s="2">
        <f t="shared" si="49"/>
        <v>129605.55508844221</v>
      </c>
      <c r="AG170" s="62">
        <f>(B170+Q170+Z170)/Dashboard!$I$25</f>
        <v>0.51842222035376884</v>
      </c>
      <c r="AH170" s="20">
        <f t="shared" si="50"/>
        <v>0</v>
      </c>
      <c r="AI170" s="20">
        <f>IF($D$2="JA",Dashboard!$K$26-$AH$11+AH170,Dashboard!$K$26)</f>
        <v>2.3800000000000002E-2</v>
      </c>
      <c r="AJ170" s="27">
        <f>Tabel2[[#This Row],[Schuldrest]]*AI170/12</f>
        <v>257.05101759207707</v>
      </c>
      <c r="AK170" s="20">
        <f>IF($D$2="JA",Dashboard!$K$27-$AH$11+AH170,Dashboard!$K$27)</f>
        <v>2.3800000000000002E-2</v>
      </c>
      <c r="AL170" s="27">
        <f t="shared" si="36"/>
        <v>0</v>
      </c>
      <c r="AM170" s="20">
        <f>IF($D$2="JA",Dashboard!$K$28-$AH$11+AH170,Dashboard!$K$28)</f>
        <v>2.3800000000000002E-2</v>
      </c>
      <c r="AN170" s="27">
        <f t="shared" si="37"/>
        <v>0</v>
      </c>
      <c r="AO170" s="63">
        <f>Tabel2[[#This Row],[Aflossing]]+V170</f>
        <v>525.42599255047708</v>
      </c>
      <c r="AP170" s="63">
        <f t="shared" si="51"/>
        <v>257.05101759207707</v>
      </c>
      <c r="AQ170" s="2">
        <f t="shared" si="38"/>
        <v>292.36356602197094</v>
      </c>
      <c r="AU170" s="20"/>
      <c r="AV170" s="20"/>
    </row>
    <row r="171" spans="1:48">
      <c r="A171" s="71">
        <v>160</v>
      </c>
      <c r="B171" s="77">
        <f t="shared" si="39"/>
        <v>129080.12909589174</v>
      </c>
      <c r="C171" s="73">
        <f>B171/Dashboard!$I$25</f>
        <v>0.51632051638356691</v>
      </c>
      <c r="D171" s="74">
        <f t="shared" si="40"/>
        <v>0</v>
      </c>
      <c r="E171" s="73">
        <f>IF($D$2="JA",Dashboard!$K$26-$D$11+D171,Dashboard!$K$26)</f>
        <v>2.3800000000000002E-2</v>
      </c>
      <c r="F171" s="72">
        <f t="shared" si="41"/>
        <v>256.00892270685193</v>
      </c>
      <c r="G171" s="72">
        <f t="shared" si="52"/>
        <v>526.46808743570227</v>
      </c>
      <c r="H171" s="72">
        <f>IFERROR(-PMT(E171^1/12,Dashboard!$I$30-A171,B171),0)</f>
        <v>782.47701014255415</v>
      </c>
      <c r="I171" s="75">
        <f t="shared" si="42"/>
        <v>782.47701014255415</v>
      </c>
      <c r="J171" s="76">
        <f t="shared" si="53"/>
        <v>130392.33713626741</v>
      </c>
      <c r="K171" s="76">
        <f>J171*Dashboard!$K$26/12</f>
        <v>291.20955293766389</v>
      </c>
      <c r="L171" s="76">
        <f t="shared" si="43"/>
        <v>517.87628963969132</v>
      </c>
      <c r="M171" s="76">
        <f>IF(H171=0,0,IFERROR(-PMT(Dashboard!$K$26^1/12,Dashboard!$I$30,Dashboard!$I$26),0))</f>
        <v>809.08584257735515</v>
      </c>
      <c r="P171" s="59">
        <v>160</v>
      </c>
      <c r="Q171" s="28">
        <f t="shared" si="44"/>
        <v>0</v>
      </c>
      <c r="R171" s="20">
        <f>Q171/Dashboard!$I$25</f>
        <v>0</v>
      </c>
      <c r="S171" s="20">
        <f t="shared" si="45"/>
        <v>0</v>
      </c>
      <c r="T171" s="20">
        <f>IF($D$2="JA",Dashboard!$K$27-$S$11+S171,Dashboard!$K$27)</f>
        <v>2.6800000000000001E-2</v>
      </c>
      <c r="U171" s="27">
        <f t="shared" si="46"/>
        <v>0</v>
      </c>
      <c r="V171" s="26">
        <f>IF(Q171&lt;=1,0,Dashboard!$I$27/Dashboard!$I$30)</f>
        <v>0</v>
      </c>
      <c r="W171" s="28">
        <f>Q171*Dashboard!$K$27/12</f>
        <v>0</v>
      </c>
      <c r="Y171" s="59">
        <v>160</v>
      </c>
      <c r="Z171" s="67">
        <f>Dashboard!$I$28</f>
        <v>0</v>
      </c>
      <c r="AA171" s="64">
        <f>IF(Z171&lt;=1,0,Dashboard!$I$30-Y171)</f>
        <v>0</v>
      </c>
      <c r="AB171" s="64">
        <f t="shared" si="47"/>
        <v>0</v>
      </c>
      <c r="AC171" s="1">
        <f>Dashboard!$K$28</f>
        <v>2.6800000000000001E-2</v>
      </c>
      <c r="AD171" s="28">
        <f t="shared" si="48"/>
        <v>0</v>
      </c>
      <c r="AF171" s="2">
        <f t="shared" si="49"/>
        <v>129080.12909589174</v>
      </c>
      <c r="AG171" s="62">
        <f>(B171+Q171+Z171)/Dashboard!$I$25</f>
        <v>0.51632051638356691</v>
      </c>
      <c r="AH171" s="20">
        <f t="shared" si="50"/>
        <v>0</v>
      </c>
      <c r="AI171" s="20">
        <f>IF($D$2="JA",Dashboard!$K$26-$AH$11+AH171,Dashboard!$K$26)</f>
        <v>2.3800000000000002E-2</v>
      </c>
      <c r="AJ171" s="27">
        <f>Tabel2[[#This Row],[Schuldrest]]*AI171/12</f>
        <v>256.00892270685193</v>
      </c>
      <c r="AK171" s="20">
        <f>IF($D$2="JA",Dashboard!$K$27-$AH$11+AH171,Dashboard!$K$27)</f>
        <v>2.3800000000000002E-2</v>
      </c>
      <c r="AL171" s="27">
        <f t="shared" si="36"/>
        <v>0</v>
      </c>
      <c r="AM171" s="20">
        <f>IF($D$2="JA",Dashboard!$K$28-$AH$11+AH171,Dashboard!$K$28)</f>
        <v>2.3800000000000002E-2</v>
      </c>
      <c r="AN171" s="27">
        <f t="shared" si="37"/>
        <v>0</v>
      </c>
      <c r="AO171" s="63">
        <f>Tabel2[[#This Row],[Aflossing]]+V171</f>
        <v>526.46808743570227</v>
      </c>
      <c r="AP171" s="63">
        <f t="shared" si="51"/>
        <v>256.00892270685193</v>
      </c>
      <c r="AQ171" s="2">
        <f t="shared" si="38"/>
        <v>291.20955293766389</v>
      </c>
      <c r="AU171" s="20"/>
      <c r="AV171" s="20"/>
    </row>
    <row r="172" spans="1:48">
      <c r="A172" s="71">
        <v>161</v>
      </c>
      <c r="B172" s="77">
        <f t="shared" si="39"/>
        <v>128553.66100845604</v>
      </c>
      <c r="C172" s="73">
        <f>B172/Dashboard!$I$25</f>
        <v>0.51421464403382411</v>
      </c>
      <c r="D172" s="74">
        <f t="shared" si="40"/>
        <v>0</v>
      </c>
      <c r="E172" s="73">
        <f>IF($D$2="JA",Dashboard!$K$26-$D$11+D172,Dashboard!$K$26)</f>
        <v>2.3800000000000002E-2</v>
      </c>
      <c r="F172" s="72">
        <f t="shared" si="41"/>
        <v>254.96476100010452</v>
      </c>
      <c r="G172" s="72">
        <f t="shared" si="52"/>
        <v>527.51224914244972</v>
      </c>
      <c r="H172" s="72">
        <f>IFERROR(-PMT(E172^1/12,Dashboard!$I$30-A172,B172),0)</f>
        <v>782.47701014255426</v>
      </c>
      <c r="I172" s="75">
        <f t="shared" si="42"/>
        <v>782.47701014255426</v>
      </c>
      <c r="J172" s="76">
        <f t="shared" si="53"/>
        <v>129874.46084662771</v>
      </c>
      <c r="K172" s="76">
        <f>J172*Dashboard!$K$26/12</f>
        <v>290.05296255746856</v>
      </c>
      <c r="L172" s="76">
        <f t="shared" si="43"/>
        <v>519.03288001988653</v>
      </c>
      <c r="M172" s="76">
        <f>IF(H172=0,0,IFERROR(-PMT(Dashboard!$K$26^1/12,Dashboard!$I$30,Dashboard!$I$26),0))</f>
        <v>809.08584257735515</v>
      </c>
      <c r="P172" s="59">
        <v>161</v>
      </c>
      <c r="Q172" s="28">
        <f t="shared" si="44"/>
        <v>0</v>
      </c>
      <c r="R172" s="20">
        <f>Q172/Dashboard!$I$25</f>
        <v>0</v>
      </c>
      <c r="S172" s="20">
        <f t="shared" si="45"/>
        <v>0</v>
      </c>
      <c r="T172" s="20">
        <f>IF($D$2="JA",Dashboard!$K$27-$S$11+S172,Dashboard!$K$27)</f>
        <v>2.6800000000000001E-2</v>
      </c>
      <c r="U172" s="27">
        <f t="shared" si="46"/>
        <v>0</v>
      </c>
      <c r="V172" s="26">
        <f>IF(Q172&lt;=1,0,Dashboard!$I$27/Dashboard!$I$30)</f>
        <v>0</v>
      </c>
      <c r="W172" s="28">
        <f>Q172*Dashboard!$K$27/12</f>
        <v>0</v>
      </c>
      <c r="Y172" s="59">
        <v>161</v>
      </c>
      <c r="Z172" s="67">
        <f>Dashboard!$I$28</f>
        <v>0</v>
      </c>
      <c r="AA172" s="64">
        <f>IF(Z172&lt;=1,0,Dashboard!$I$30-Y172)</f>
        <v>0</v>
      </c>
      <c r="AB172" s="64">
        <f t="shared" si="47"/>
        <v>0</v>
      </c>
      <c r="AC172" s="1">
        <f>Dashboard!$K$28</f>
        <v>2.6800000000000001E-2</v>
      </c>
      <c r="AD172" s="28">
        <f t="shared" si="48"/>
        <v>0</v>
      </c>
      <c r="AF172" s="2">
        <f t="shared" si="49"/>
        <v>128553.66100845604</v>
      </c>
      <c r="AG172" s="62">
        <f>(B172+Q172+Z172)/Dashboard!$I$25</f>
        <v>0.51421464403382411</v>
      </c>
      <c r="AH172" s="20">
        <f t="shared" si="50"/>
        <v>0</v>
      </c>
      <c r="AI172" s="20">
        <f>IF($D$2="JA",Dashboard!$K$26-$AH$11+AH172,Dashboard!$K$26)</f>
        <v>2.3800000000000002E-2</v>
      </c>
      <c r="AJ172" s="27">
        <f>Tabel2[[#This Row],[Schuldrest]]*AI172/12</f>
        <v>254.96476100010452</v>
      </c>
      <c r="AK172" s="20">
        <f>IF($D$2="JA",Dashboard!$K$27-$AH$11+AH172,Dashboard!$K$27)</f>
        <v>2.3800000000000002E-2</v>
      </c>
      <c r="AL172" s="27">
        <f t="shared" si="36"/>
        <v>0</v>
      </c>
      <c r="AM172" s="20">
        <f>IF($D$2="JA",Dashboard!$K$28-$AH$11+AH172,Dashboard!$K$28)</f>
        <v>2.3800000000000002E-2</v>
      </c>
      <c r="AN172" s="27">
        <f t="shared" si="37"/>
        <v>0</v>
      </c>
      <c r="AO172" s="63">
        <f>Tabel2[[#This Row],[Aflossing]]+V172</f>
        <v>527.51224914244972</v>
      </c>
      <c r="AP172" s="63">
        <f t="shared" si="51"/>
        <v>254.96476100010452</v>
      </c>
      <c r="AQ172" s="2">
        <f t="shared" si="38"/>
        <v>290.05296255746856</v>
      </c>
      <c r="AU172" s="20"/>
      <c r="AV172" s="20"/>
    </row>
    <row r="173" spans="1:48">
      <c r="A173" s="71">
        <v>162</v>
      </c>
      <c r="B173" s="77">
        <f t="shared" si="39"/>
        <v>128026.14875931358</v>
      </c>
      <c r="C173" s="73">
        <f>B173/Dashboard!$I$25</f>
        <v>0.51210459503725436</v>
      </c>
      <c r="D173" s="74">
        <f t="shared" si="40"/>
        <v>0</v>
      </c>
      <c r="E173" s="73">
        <f>IF($D$2="JA",Dashboard!$K$26-$D$11+D173,Dashboard!$K$26)</f>
        <v>2.3800000000000002E-2</v>
      </c>
      <c r="F173" s="72">
        <f t="shared" si="41"/>
        <v>253.91852837263863</v>
      </c>
      <c r="G173" s="72">
        <f t="shared" si="52"/>
        <v>528.55848176991549</v>
      </c>
      <c r="H173" s="72">
        <f>IFERROR(-PMT(E173^1/12,Dashboard!$I$30-A173,B173),0)</f>
        <v>782.47701014255415</v>
      </c>
      <c r="I173" s="75">
        <f t="shared" si="42"/>
        <v>782.47701014255415</v>
      </c>
      <c r="J173" s="76">
        <f t="shared" si="53"/>
        <v>129355.42796660782</v>
      </c>
      <c r="K173" s="76">
        <f>J173*Dashboard!$K$26/12</f>
        <v>288.89378912542412</v>
      </c>
      <c r="L173" s="76">
        <f t="shared" si="43"/>
        <v>520.19205345193109</v>
      </c>
      <c r="M173" s="76">
        <f>IF(H173=0,0,IFERROR(-PMT(Dashboard!$K$26^1/12,Dashboard!$I$30,Dashboard!$I$26),0))</f>
        <v>809.08584257735515</v>
      </c>
      <c r="P173" s="59">
        <v>162</v>
      </c>
      <c r="Q173" s="28">
        <f t="shared" si="44"/>
        <v>0</v>
      </c>
      <c r="R173" s="20">
        <f>Q173/Dashboard!$I$25</f>
        <v>0</v>
      </c>
      <c r="S173" s="20">
        <f t="shared" si="45"/>
        <v>0</v>
      </c>
      <c r="T173" s="20">
        <f>IF($D$2="JA",Dashboard!$K$27-$S$11+S173,Dashboard!$K$27)</f>
        <v>2.6800000000000001E-2</v>
      </c>
      <c r="U173" s="27">
        <f t="shared" si="46"/>
        <v>0</v>
      </c>
      <c r="V173" s="26">
        <f>IF(Q173&lt;=1,0,Dashboard!$I$27/Dashboard!$I$30)</f>
        <v>0</v>
      </c>
      <c r="W173" s="28">
        <f>Q173*Dashboard!$K$27/12</f>
        <v>0</v>
      </c>
      <c r="Y173" s="59">
        <v>162</v>
      </c>
      <c r="Z173" s="67">
        <f>Dashboard!$I$28</f>
        <v>0</v>
      </c>
      <c r="AA173" s="64">
        <f>IF(Z173&lt;=1,0,Dashboard!$I$30-Y173)</f>
        <v>0</v>
      </c>
      <c r="AB173" s="64">
        <f t="shared" si="47"/>
        <v>0</v>
      </c>
      <c r="AC173" s="1">
        <f>Dashboard!$K$28</f>
        <v>2.6800000000000001E-2</v>
      </c>
      <c r="AD173" s="28">
        <f t="shared" si="48"/>
        <v>0</v>
      </c>
      <c r="AF173" s="2">
        <f t="shared" si="49"/>
        <v>128026.14875931358</v>
      </c>
      <c r="AG173" s="62">
        <f>(B173+Q173+Z173)/Dashboard!$I$25</f>
        <v>0.51210459503725436</v>
      </c>
      <c r="AH173" s="20">
        <f t="shared" si="50"/>
        <v>0</v>
      </c>
      <c r="AI173" s="20">
        <f>IF($D$2="JA",Dashboard!$K$26-$AH$11+AH173,Dashboard!$K$26)</f>
        <v>2.3800000000000002E-2</v>
      </c>
      <c r="AJ173" s="27">
        <f>Tabel2[[#This Row],[Schuldrest]]*AI173/12</f>
        <v>253.91852837263863</v>
      </c>
      <c r="AK173" s="20">
        <f>IF($D$2="JA",Dashboard!$K$27-$AH$11+AH173,Dashboard!$K$27)</f>
        <v>2.3800000000000002E-2</v>
      </c>
      <c r="AL173" s="27">
        <f t="shared" si="36"/>
        <v>0</v>
      </c>
      <c r="AM173" s="20">
        <f>IF($D$2="JA",Dashboard!$K$28-$AH$11+AH173,Dashboard!$K$28)</f>
        <v>2.3800000000000002E-2</v>
      </c>
      <c r="AN173" s="27">
        <f t="shared" si="37"/>
        <v>0</v>
      </c>
      <c r="AO173" s="63">
        <f>Tabel2[[#This Row],[Aflossing]]+V173</f>
        <v>528.55848176991549</v>
      </c>
      <c r="AP173" s="63">
        <f t="shared" si="51"/>
        <v>253.91852837263863</v>
      </c>
      <c r="AQ173" s="2">
        <f t="shared" si="38"/>
        <v>288.89378912542412</v>
      </c>
      <c r="AU173" s="20"/>
      <c r="AV173" s="20"/>
    </row>
    <row r="174" spans="1:48">
      <c r="A174" s="71">
        <v>163</v>
      </c>
      <c r="B174" s="77">
        <f t="shared" si="39"/>
        <v>127497.59027754367</v>
      </c>
      <c r="C174" s="73">
        <f>B174/Dashboard!$I$25</f>
        <v>0.50999036111017471</v>
      </c>
      <c r="D174" s="74">
        <f t="shared" si="40"/>
        <v>0</v>
      </c>
      <c r="E174" s="73">
        <f>IF($D$2="JA",Dashboard!$K$26-$D$11+D174,Dashboard!$K$26)</f>
        <v>2.3800000000000002E-2</v>
      </c>
      <c r="F174" s="72">
        <f t="shared" si="41"/>
        <v>252.87022071712829</v>
      </c>
      <c r="G174" s="72">
        <f t="shared" si="52"/>
        <v>529.60678942542586</v>
      </c>
      <c r="H174" s="72">
        <f>IFERROR(-PMT(E174^1/12,Dashboard!$I$30-A174,B174),0)</f>
        <v>782.47701014255415</v>
      </c>
      <c r="I174" s="75">
        <f t="shared" si="42"/>
        <v>782.47701014255415</v>
      </c>
      <c r="J174" s="76">
        <f t="shared" si="53"/>
        <v>128835.23591315589</v>
      </c>
      <c r="K174" s="76">
        <f>J174*Dashboard!$K$26/12</f>
        <v>287.73202687271481</v>
      </c>
      <c r="L174" s="76">
        <f t="shared" si="43"/>
        <v>521.35381570464028</v>
      </c>
      <c r="M174" s="76">
        <f>IF(H174=0,0,IFERROR(-PMT(Dashboard!$K$26^1/12,Dashboard!$I$30,Dashboard!$I$26),0))</f>
        <v>809.08584257735515</v>
      </c>
      <c r="P174" s="59">
        <v>163</v>
      </c>
      <c r="Q174" s="28">
        <f t="shared" si="44"/>
        <v>0</v>
      </c>
      <c r="R174" s="20">
        <f>Q174/Dashboard!$I$25</f>
        <v>0</v>
      </c>
      <c r="S174" s="20">
        <f t="shared" si="45"/>
        <v>0</v>
      </c>
      <c r="T174" s="20">
        <f>IF($D$2="JA",Dashboard!$K$27-$S$11+S174,Dashboard!$K$27)</f>
        <v>2.6800000000000001E-2</v>
      </c>
      <c r="U174" s="27">
        <f t="shared" si="46"/>
        <v>0</v>
      </c>
      <c r="V174" s="26">
        <f>IF(Q174&lt;=1,0,Dashboard!$I$27/Dashboard!$I$30)</f>
        <v>0</v>
      </c>
      <c r="W174" s="28">
        <f>Q174*Dashboard!$K$27/12</f>
        <v>0</v>
      </c>
      <c r="Y174" s="59">
        <v>163</v>
      </c>
      <c r="Z174" s="67">
        <f>Dashboard!$I$28</f>
        <v>0</v>
      </c>
      <c r="AA174" s="64">
        <f>IF(Z174&lt;=1,0,Dashboard!$I$30-Y174)</f>
        <v>0</v>
      </c>
      <c r="AB174" s="64">
        <f t="shared" si="47"/>
        <v>0</v>
      </c>
      <c r="AC174" s="1">
        <f>Dashboard!$K$28</f>
        <v>2.6800000000000001E-2</v>
      </c>
      <c r="AD174" s="28">
        <f t="shared" si="48"/>
        <v>0</v>
      </c>
      <c r="AF174" s="2">
        <f t="shared" si="49"/>
        <v>127497.59027754367</v>
      </c>
      <c r="AG174" s="62">
        <f>(B174+Q174+Z174)/Dashboard!$I$25</f>
        <v>0.50999036111017471</v>
      </c>
      <c r="AH174" s="20">
        <f t="shared" si="50"/>
        <v>0</v>
      </c>
      <c r="AI174" s="20">
        <f>IF($D$2="JA",Dashboard!$K$26-$AH$11+AH174,Dashboard!$K$26)</f>
        <v>2.3800000000000002E-2</v>
      </c>
      <c r="AJ174" s="27">
        <f>Tabel2[[#This Row],[Schuldrest]]*AI174/12</f>
        <v>252.87022071712829</v>
      </c>
      <c r="AK174" s="20">
        <f>IF($D$2="JA",Dashboard!$K$27-$AH$11+AH174,Dashboard!$K$27)</f>
        <v>2.3800000000000002E-2</v>
      </c>
      <c r="AL174" s="27">
        <f t="shared" si="36"/>
        <v>0</v>
      </c>
      <c r="AM174" s="20">
        <f>IF($D$2="JA",Dashboard!$K$28-$AH$11+AH174,Dashboard!$K$28)</f>
        <v>2.3800000000000002E-2</v>
      </c>
      <c r="AN174" s="27">
        <f t="shared" si="37"/>
        <v>0</v>
      </c>
      <c r="AO174" s="63">
        <f>Tabel2[[#This Row],[Aflossing]]+V174</f>
        <v>529.60678942542586</v>
      </c>
      <c r="AP174" s="63">
        <f t="shared" si="51"/>
        <v>252.87022071712829</v>
      </c>
      <c r="AQ174" s="2">
        <f t="shared" si="38"/>
        <v>287.73202687271481</v>
      </c>
      <c r="AU174" s="20"/>
      <c r="AV174" s="20"/>
    </row>
    <row r="175" spans="1:48">
      <c r="A175" s="71">
        <v>164</v>
      </c>
      <c r="B175" s="77">
        <f t="shared" si="39"/>
        <v>126967.98348811825</v>
      </c>
      <c r="C175" s="73">
        <f>B175/Dashboard!$I$25</f>
        <v>0.50787193395247299</v>
      </c>
      <c r="D175" s="74">
        <f t="shared" si="40"/>
        <v>0</v>
      </c>
      <c r="E175" s="73">
        <f>IF($D$2="JA",Dashboard!$K$26-$D$11+D175,Dashboard!$K$26)</f>
        <v>2.3800000000000002E-2</v>
      </c>
      <c r="F175" s="72">
        <f t="shared" si="41"/>
        <v>251.81983391810118</v>
      </c>
      <c r="G175" s="72">
        <f t="shared" si="52"/>
        <v>530.657176224453</v>
      </c>
      <c r="H175" s="72">
        <f>IFERROR(-PMT(E175^1/12,Dashboard!$I$30-A175,B175),0)</f>
        <v>782.47701014255415</v>
      </c>
      <c r="I175" s="75">
        <f t="shared" si="42"/>
        <v>782.47701014255415</v>
      </c>
      <c r="J175" s="76">
        <f t="shared" si="53"/>
        <v>128313.88209745125</v>
      </c>
      <c r="K175" s="76">
        <f>J175*Dashboard!$K$26/12</f>
        <v>286.56767001764115</v>
      </c>
      <c r="L175" s="76">
        <f t="shared" si="43"/>
        <v>522.518172559714</v>
      </c>
      <c r="M175" s="76">
        <f>IF(H175=0,0,IFERROR(-PMT(Dashboard!$K$26^1/12,Dashboard!$I$30,Dashboard!$I$26),0))</f>
        <v>809.08584257735515</v>
      </c>
      <c r="P175" s="59">
        <v>164</v>
      </c>
      <c r="Q175" s="28">
        <f t="shared" si="44"/>
        <v>0</v>
      </c>
      <c r="R175" s="20">
        <f>Q175/Dashboard!$I$25</f>
        <v>0</v>
      </c>
      <c r="S175" s="20">
        <f t="shared" si="45"/>
        <v>0</v>
      </c>
      <c r="T175" s="20">
        <f>IF($D$2="JA",Dashboard!$K$27-$S$11+S175,Dashboard!$K$27)</f>
        <v>2.6800000000000001E-2</v>
      </c>
      <c r="U175" s="27">
        <f t="shared" si="46"/>
        <v>0</v>
      </c>
      <c r="V175" s="26">
        <f>IF(Q175&lt;=1,0,Dashboard!$I$27/Dashboard!$I$30)</f>
        <v>0</v>
      </c>
      <c r="W175" s="28">
        <f>Q175*Dashboard!$K$27/12</f>
        <v>0</v>
      </c>
      <c r="Y175" s="59">
        <v>164</v>
      </c>
      <c r="Z175" s="67">
        <f>Dashboard!$I$28</f>
        <v>0</v>
      </c>
      <c r="AA175" s="64">
        <f>IF(Z175&lt;=1,0,Dashboard!$I$30-Y175)</f>
        <v>0</v>
      </c>
      <c r="AB175" s="64">
        <f t="shared" si="47"/>
        <v>0</v>
      </c>
      <c r="AC175" s="1">
        <f>Dashboard!$K$28</f>
        <v>2.6800000000000001E-2</v>
      </c>
      <c r="AD175" s="28">
        <f t="shared" si="48"/>
        <v>0</v>
      </c>
      <c r="AF175" s="2">
        <f t="shared" si="49"/>
        <v>126967.98348811825</v>
      </c>
      <c r="AG175" s="62">
        <f>(B175+Q175+Z175)/Dashboard!$I$25</f>
        <v>0.50787193395247299</v>
      </c>
      <c r="AH175" s="20">
        <f t="shared" si="50"/>
        <v>0</v>
      </c>
      <c r="AI175" s="20">
        <f>IF($D$2="JA",Dashboard!$K$26-$AH$11+AH175,Dashboard!$K$26)</f>
        <v>2.3800000000000002E-2</v>
      </c>
      <c r="AJ175" s="27">
        <f>Tabel2[[#This Row],[Schuldrest]]*AI175/12</f>
        <v>251.81983391810118</v>
      </c>
      <c r="AK175" s="20">
        <f>IF($D$2="JA",Dashboard!$K$27-$AH$11+AH175,Dashboard!$K$27)</f>
        <v>2.3800000000000002E-2</v>
      </c>
      <c r="AL175" s="27">
        <f t="shared" si="36"/>
        <v>0</v>
      </c>
      <c r="AM175" s="20">
        <f>IF($D$2="JA",Dashboard!$K$28-$AH$11+AH175,Dashboard!$K$28)</f>
        <v>2.3800000000000002E-2</v>
      </c>
      <c r="AN175" s="27">
        <f t="shared" si="37"/>
        <v>0</v>
      </c>
      <c r="AO175" s="63">
        <f>Tabel2[[#This Row],[Aflossing]]+V175</f>
        <v>530.657176224453</v>
      </c>
      <c r="AP175" s="63">
        <f t="shared" si="51"/>
        <v>251.81983391810118</v>
      </c>
      <c r="AQ175" s="2">
        <f t="shared" si="38"/>
        <v>286.56767001764115</v>
      </c>
      <c r="AU175" s="20"/>
      <c r="AV175" s="20"/>
    </row>
    <row r="176" spans="1:48">
      <c r="A176" s="71">
        <v>165</v>
      </c>
      <c r="B176" s="77">
        <f t="shared" si="39"/>
        <v>126437.32631189379</v>
      </c>
      <c r="C176" s="73">
        <f>B176/Dashboard!$I$25</f>
        <v>0.50574930524757511</v>
      </c>
      <c r="D176" s="74">
        <f t="shared" si="40"/>
        <v>0</v>
      </c>
      <c r="E176" s="73">
        <f>IF($D$2="JA",Dashboard!$K$26-$D$11+D176,Dashboard!$K$26)</f>
        <v>2.3800000000000002E-2</v>
      </c>
      <c r="F176" s="72">
        <f t="shared" si="41"/>
        <v>250.76736385192271</v>
      </c>
      <c r="G176" s="72">
        <f t="shared" si="52"/>
        <v>531.70964629063144</v>
      </c>
      <c r="H176" s="72">
        <f>IFERROR(-PMT(E176^1/12,Dashboard!$I$30-A176,B176),0)</f>
        <v>782.47701014255415</v>
      </c>
      <c r="I176" s="75">
        <f t="shared" si="42"/>
        <v>782.47701014255415</v>
      </c>
      <c r="J176" s="76">
        <f t="shared" si="53"/>
        <v>127791.36392489154</v>
      </c>
      <c r="K176" s="76">
        <f>J176*Dashboard!$K$26/12</f>
        <v>285.40071276559109</v>
      </c>
      <c r="L176" s="76">
        <f t="shared" si="43"/>
        <v>523.685129811764</v>
      </c>
      <c r="M176" s="76">
        <f>IF(H176=0,0,IFERROR(-PMT(Dashboard!$K$26^1/12,Dashboard!$I$30,Dashboard!$I$26),0))</f>
        <v>809.08584257735515</v>
      </c>
      <c r="P176" s="59">
        <v>165</v>
      </c>
      <c r="Q176" s="28">
        <f t="shared" si="44"/>
        <v>0</v>
      </c>
      <c r="R176" s="20">
        <f>Q176/Dashboard!$I$25</f>
        <v>0</v>
      </c>
      <c r="S176" s="20">
        <f t="shared" si="45"/>
        <v>0</v>
      </c>
      <c r="T176" s="20">
        <f>IF($D$2="JA",Dashboard!$K$27-$S$11+S176,Dashboard!$K$27)</f>
        <v>2.6800000000000001E-2</v>
      </c>
      <c r="U176" s="27">
        <f t="shared" si="46"/>
        <v>0</v>
      </c>
      <c r="V176" s="26">
        <f>IF(Q176&lt;=1,0,Dashboard!$I$27/Dashboard!$I$30)</f>
        <v>0</v>
      </c>
      <c r="W176" s="28">
        <f>Q176*Dashboard!$K$27/12</f>
        <v>0</v>
      </c>
      <c r="Y176" s="59">
        <v>165</v>
      </c>
      <c r="Z176" s="67">
        <f>Dashboard!$I$28</f>
        <v>0</v>
      </c>
      <c r="AA176" s="64">
        <f>IF(Z176&lt;=1,0,Dashboard!$I$30-Y176)</f>
        <v>0</v>
      </c>
      <c r="AB176" s="64">
        <f t="shared" si="47"/>
        <v>0</v>
      </c>
      <c r="AC176" s="1">
        <f>Dashboard!$K$28</f>
        <v>2.6800000000000001E-2</v>
      </c>
      <c r="AD176" s="28">
        <f t="shared" si="48"/>
        <v>0</v>
      </c>
      <c r="AF176" s="2">
        <f t="shared" si="49"/>
        <v>126437.32631189379</v>
      </c>
      <c r="AG176" s="62">
        <f>(B176+Q176+Z176)/Dashboard!$I$25</f>
        <v>0.50574930524757511</v>
      </c>
      <c r="AH176" s="20">
        <f t="shared" si="50"/>
        <v>0</v>
      </c>
      <c r="AI176" s="20">
        <f>IF($D$2="JA",Dashboard!$K$26-$AH$11+AH176,Dashboard!$K$26)</f>
        <v>2.3800000000000002E-2</v>
      </c>
      <c r="AJ176" s="27">
        <f>Tabel2[[#This Row],[Schuldrest]]*AI176/12</f>
        <v>250.76736385192271</v>
      </c>
      <c r="AK176" s="20">
        <f>IF($D$2="JA",Dashboard!$K$27-$AH$11+AH176,Dashboard!$K$27)</f>
        <v>2.3800000000000002E-2</v>
      </c>
      <c r="AL176" s="27">
        <f t="shared" si="36"/>
        <v>0</v>
      </c>
      <c r="AM176" s="20">
        <f>IF($D$2="JA",Dashboard!$K$28-$AH$11+AH176,Dashboard!$K$28)</f>
        <v>2.3800000000000002E-2</v>
      </c>
      <c r="AN176" s="27">
        <f t="shared" si="37"/>
        <v>0</v>
      </c>
      <c r="AO176" s="63">
        <f>Tabel2[[#This Row],[Aflossing]]+V176</f>
        <v>531.70964629063144</v>
      </c>
      <c r="AP176" s="63">
        <f t="shared" si="51"/>
        <v>250.76736385192271</v>
      </c>
      <c r="AQ176" s="2">
        <f t="shared" si="38"/>
        <v>285.40071276559109</v>
      </c>
      <c r="AU176" s="20"/>
      <c r="AV176" s="20"/>
    </row>
    <row r="177" spans="1:48">
      <c r="A177" s="71">
        <v>166</v>
      </c>
      <c r="B177" s="77">
        <f t="shared" si="39"/>
        <v>125905.61666560316</v>
      </c>
      <c r="C177" s="73">
        <f>B177/Dashboard!$I$25</f>
        <v>0.50362246666241262</v>
      </c>
      <c r="D177" s="74">
        <f t="shared" si="40"/>
        <v>0</v>
      </c>
      <c r="E177" s="73">
        <f>IF($D$2="JA",Dashboard!$K$26-$D$11+D177,Dashboard!$K$26)</f>
        <v>2.3800000000000002E-2</v>
      </c>
      <c r="F177" s="72">
        <f t="shared" si="41"/>
        <v>249.71280638677959</v>
      </c>
      <c r="G177" s="72">
        <f t="shared" si="52"/>
        <v>532.76420375577459</v>
      </c>
      <c r="H177" s="72">
        <f>IFERROR(-PMT(E177^1/12,Dashboard!$I$30-A177,B177),0)</f>
        <v>782.47701014255415</v>
      </c>
      <c r="I177" s="75">
        <f t="shared" si="42"/>
        <v>782.47701014255415</v>
      </c>
      <c r="J177" s="76">
        <f t="shared" si="53"/>
        <v>127267.67879507977</v>
      </c>
      <c r="K177" s="76">
        <f>J177*Dashboard!$K$26/12</f>
        <v>284.23114930901153</v>
      </c>
      <c r="L177" s="76">
        <f t="shared" si="43"/>
        <v>524.85469326834368</v>
      </c>
      <c r="M177" s="76">
        <f>IF(H177=0,0,IFERROR(-PMT(Dashboard!$K$26^1/12,Dashboard!$I$30,Dashboard!$I$26),0))</f>
        <v>809.08584257735515</v>
      </c>
      <c r="P177" s="59">
        <v>166</v>
      </c>
      <c r="Q177" s="28">
        <f t="shared" si="44"/>
        <v>0</v>
      </c>
      <c r="R177" s="20">
        <f>Q177/Dashboard!$I$25</f>
        <v>0</v>
      </c>
      <c r="S177" s="20">
        <f t="shared" si="45"/>
        <v>0</v>
      </c>
      <c r="T177" s="20">
        <f>IF($D$2="JA",Dashboard!$K$27-$S$11+S177,Dashboard!$K$27)</f>
        <v>2.6800000000000001E-2</v>
      </c>
      <c r="U177" s="27">
        <f t="shared" si="46"/>
        <v>0</v>
      </c>
      <c r="V177" s="26">
        <f>IF(Q177&lt;=1,0,Dashboard!$I$27/Dashboard!$I$30)</f>
        <v>0</v>
      </c>
      <c r="W177" s="28">
        <f>Q177*Dashboard!$K$27/12</f>
        <v>0</v>
      </c>
      <c r="Y177" s="59">
        <v>166</v>
      </c>
      <c r="Z177" s="67">
        <f>Dashboard!$I$28</f>
        <v>0</v>
      </c>
      <c r="AA177" s="64">
        <f>IF(Z177&lt;=1,0,Dashboard!$I$30-Y177)</f>
        <v>0</v>
      </c>
      <c r="AB177" s="64">
        <f t="shared" si="47"/>
        <v>0</v>
      </c>
      <c r="AC177" s="1">
        <f>Dashboard!$K$28</f>
        <v>2.6800000000000001E-2</v>
      </c>
      <c r="AD177" s="28">
        <f t="shared" si="48"/>
        <v>0</v>
      </c>
      <c r="AF177" s="2">
        <f t="shared" si="49"/>
        <v>125905.61666560316</v>
      </c>
      <c r="AG177" s="62">
        <f>(B177+Q177+Z177)/Dashboard!$I$25</f>
        <v>0.50362246666241262</v>
      </c>
      <c r="AH177" s="20">
        <f t="shared" si="50"/>
        <v>0</v>
      </c>
      <c r="AI177" s="20">
        <f>IF($D$2="JA",Dashboard!$K$26-$AH$11+AH177,Dashboard!$K$26)</f>
        <v>2.3800000000000002E-2</v>
      </c>
      <c r="AJ177" s="27">
        <f>Tabel2[[#This Row],[Schuldrest]]*AI177/12</f>
        <v>249.71280638677959</v>
      </c>
      <c r="AK177" s="20">
        <f>IF($D$2="JA",Dashboard!$K$27-$AH$11+AH177,Dashboard!$K$27)</f>
        <v>2.3800000000000002E-2</v>
      </c>
      <c r="AL177" s="27">
        <f t="shared" si="36"/>
        <v>0</v>
      </c>
      <c r="AM177" s="20">
        <f>IF($D$2="JA",Dashboard!$K$28-$AH$11+AH177,Dashboard!$K$28)</f>
        <v>2.3800000000000002E-2</v>
      </c>
      <c r="AN177" s="27">
        <f t="shared" si="37"/>
        <v>0</v>
      </c>
      <c r="AO177" s="63">
        <f>Tabel2[[#This Row],[Aflossing]]+V177</f>
        <v>532.76420375577459</v>
      </c>
      <c r="AP177" s="63">
        <f t="shared" si="51"/>
        <v>249.71280638677959</v>
      </c>
      <c r="AQ177" s="2">
        <f t="shared" si="38"/>
        <v>284.23114930901153</v>
      </c>
      <c r="AU177" s="20"/>
      <c r="AV177" s="20"/>
    </row>
    <row r="178" spans="1:48">
      <c r="A178" s="71">
        <v>167</v>
      </c>
      <c r="B178" s="77">
        <f t="shared" si="39"/>
        <v>125372.85246184737</v>
      </c>
      <c r="C178" s="73">
        <f>B178/Dashboard!$I$25</f>
        <v>0.50149140984738949</v>
      </c>
      <c r="D178" s="74">
        <f t="shared" si="40"/>
        <v>0</v>
      </c>
      <c r="E178" s="73">
        <f>IF($D$2="JA",Dashboard!$K$26-$D$11+D178,Dashboard!$K$26)</f>
        <v>2.3800000000000002E-2</v>
      </c>
      <c r="F178" s="72">
        <f t="shared" si="41"/>
        <v>248.65615738266399</v>
      </c>
      <c r="G178" s="72">
        <f t="shared" si="52"/>
        <v>533.82085275989004</v>
      </c>
      <c r="H178" s="72">
        <f>IFERROR(-PMT(E178^1/12,Dashboard!$I$30-A178,B178),0)</f>
        <v>782.47701014255404</v>
      </c>
      <c r="I178" s="75">
        <f t="shared" si="42"/>
        <v>782.47701014255404</v>
      </c>
      <c r="J178" s="76">
        <f t="shared" si="53"/>
        <v>126742.82410181143</v>
      </c>
      <c r="K178" s="76">
        <f>J178*Dashboard!$K$26/12</f>
        <v>283.05897382737891</v>
      </c>
      <c r="L178" s="76">
        <f t="shared" si="43"/>
        <v>526.0268687499763</v>
      </c>
      <c r="M178" s="76">
        <f>IF(H178=0,0,IFERROR(-PMT(Dashboard!$K$26^1/12,Dashboard!$I$30,Dashboard!$I$26),0))</f>
        <v>809.08584257735515</v>
      </c>
      <c r="P178" s="59">
        <v>167</v>
      </c>
      <c r="Q178" s="28">
        <f t="shared" si="44"/>
        <v>0</v>
      </c>
      <c r="R178" s="20">
        <f>Q178/Dashboard!$I$25</f>
        <v>0</v>
      </c>
      <c r="S178" s="20">
        <f t="shared" si="45"/>
        <v>0</v>
      </c>
      <c r="T178" s="20">
        <f>IF($D$2="JA",Dashboard!$K$27-$S$11+S178,Dashboard!$K$27)</f>
        <v>2.6800000000000001E-2</v>
      </c>
      <c r="U178" s="27">
        <f t="shared" si="46"/>
        <v>0</v>
      </c>
      <c r="V178" s="26">
        <f>IF(Q178&lt;=1,0,Dashboard!$I$27/Dashboard!$I$30)</f>
        <v>0</v>
      </c>
      <c r="W178" s="28">
        <f>Q178*Dashboard!$K$27/12</f>
        <v>0</v>
      </c>
      <c r="Y178" s="59">
        <v>167</v>
      </c>
      <c r="Z178" s="67">
        <f>Dashboard!$I$28</f>
        <v>0</v>
      </c>
      <c r="AA178" s="64">
        <f>IF(Z178&lt;=1,0,Dashboard!$I$30-Y178)</f>
        <v>0</v>
      </c>
      <c r="AB178" s="64">
        <f t="shared" si="47"/>
        <v>0</v>
      </c>
      <c r="AC178" s="1">
        <f>Dashboard!$K$28</f>
        <v>2.6800000000000001E-2</v>
      </c>
      <c r="AD178" s="28">
        <f t="shared" si="48"/>
        <v>0</v>
      </c>
      <c r="AF178" s="2">
        <f t="shared" si="49"/>
        <v>125372.85246184737</v>
      </c>
      <c r="AG178" s="62">
        <f>(B178+Q178+Z178)/Dashboard!$I$25</f>
        <v>0.50149140984738949</v>
      </c>
      <c r="AH178" s="20">
        <f t="shared" si="50"/>
        <v>0</v>
      </c>
      <c r="AI178" s="20">
        <f>IF($D$2="JA",Dashboard!$K$26-$AH$11+AH178,Dashboard!$K$26)</f>
        <v>2.3800000000000002E-2</v>
      </c>
      <c r="AJ178" s="27">
        <f>Tabel2[[#This Row],[Schuldrest]]*AI178/12</f>
        <v>248.65615738266399</v>
      </c>
      <c r="AK178" s="20">
        <f>IF($D$2="JA",Dashboard!$K$27-$AH$11+AH178,Dashboard!$K$27)</f>
        <v>2.3800000000000002E-2</v>
      </c>
      <c r="AL178" s="27">
        <f t="shared" si="36"/>
        <v>0</v>
      </c>
      <c r="AM178" s="20">
        <f>IF($D$2="JA",Dashboard!$K$28-$AH$11+AH178,Dashboard!$K$28)</f>
        <v>2.3800000000000002E-2</v>
      </c>
      <c r="AN178" s="27">
        <f t="shared" si="37"/>
        <v>0</v>
      </c>
      <c r="AO178" s="63">
        <f>Tabel2[[#This Row],[Aflossing]]+V178</f>
        <v>533.82085275989004</v>
      </c>
      <c r="AP178" s="63">
        <f t="shared" si="51"/>
        <v>248.65615738266399</v>
      </c>
      <c r="AQ178" s="2">
        <f t="shared" si="38"/>
        <v>283.05897382737891</v>
      </c>
      <c r="AU178" s="20"/>
      <c r="AV178" s="20"/>
    </row>
    <row r="179" spans="1:48">
      <c r="A179" s="71">
        <v>168</v>
      </c>
      <c r="B179" s="77">
        <f t="shared" si="39"/>
        <v>124839.03160908748</v>
      </c>
      <c r="C179" s="73">
        <f>B179/Dashboard!$I$25</f>
        <v>0.49935612643634991</v>
      </c>
      <c r="D179" s="74">
        <f t="shared" si="40"/>
        <v>0</v>
      </c>
      <c r="E179" s="73">
        <f>IF($D$2="JA",Dashboard!$K$26-$D$11+D179,Dashboard!$K$26)</f>
        <v>2.3800000000000002E-2</v>
      </c>
      <c r="F179" s="72">
        <f t="shared" si="41"/>
        <v>247.59741269135688</v>
      </c>
      <c r="G179" s="72">
        <f t="shared" si="52"/>
        <v>534.87959745119713</v>
      </c>
      <c r="H179" s="72">
        <f>IFERROR(-PMT(E179^1/12,Dashboard!$I$30-A179,B179),0)</f>
        <v>782.47701014255404</v>
      </c>
      <c r="I179" s="75">
        <f t="shared" si="42"/>
        <v>782.47701014255404</v>
      </c>
      <c r="J179" s="76">
        <f t="shared" si="53"/>
        <v>126216.79723306146</v>
      </c>
      <c r="K179" s="76">
        <f>J179*Dashboard!$K$26/12</f>
        <v>281.88418048717057</v>
      </c>
      <c r="L179" s="76">
        <f t="shared" si="43"/>
        <v>527.20166209018453</v>
      </c>
      <c r="M179" s="76">
        <f>IF(H179=0,0,IFERROR(-PMT(Dashboard!$K$26^1/12,Dashboard!$I$30,Dashboard!$I$26),0))</f>
        <v>809.08584257735515</v>
      </c>
      <c r="P179" s="59">
        <v>168</v>
      </c>
      <c r="Q179" s="28">
        <f t="shared" si="44"/>
        <v>0</v>
      </c>
      <c r="R179" s="20">
        <f>Q179/Dashboard!$I$25</f>
        <v>0</v>
      </c>
      <c r="S179" s="20">
        <f t="shared" si="45"/>
        <v>0</v>
      </c>
      <c r="T179" s="20">
        <f>IF($D$2="JA",Dashboard!$K$27-$S$11+S179,Dashboard!$K$27)</f>
        <v>2.6800000000000001E-2</v>
      </c>
      <c r="U179" s="27">
        <f t="shared" si="46"/>
        <v>0</v>
      </c>
      <c r="V179" s="26">
        <f>IF(Q179&lt;=1,0,Dashboard!$I$27/Dashboard!$I$30)</f>
        <v>0</v>
      </c>
      <c r="W179" s="28">
        <f>Q179*Dashboard!$K$27/12</f>
        <v>0</v>
      </c>
      <c r="Y179" s="59">
        <v>168</v>
      </c>
      <c r="Z179" s="67">
        <f>Dashboard!$I$28</f>
        <v>0</v>
      </c>
      <c r="AA179" s="64">
        <f>IF(Z179&lt;=1,0,Dashboard!$I$30-Y179)</f>
        <v>0</v>
      </c>
      <c r="AB179" s="64">
        <f t="shared" si="47"/>
        <v>0</v>
      </c>
      <c r="AC179" s="1">
        <f>Dashboard!$K$28</f>
        <v>2.6800000000000001E-2</v>
      </c>
      <c r="AD179" s="28">
        <f t="shared" si="48"/>
        <v>0</v>
      </c>
      <c r="AF179" s="2">
        <f t="shared" si="49"/>
        <v>124839.03160908748</v>
      </c>
      <c r="AG179" s="62">
        <f>(B179+Q179+Z179)/Dashboard!$I$25</f>
        <v>0.49935612643634991</v>
      </c>
      <c r="AH179" s="20">
        <f t="shared" si="50"/>
        <v>0</v>
      </c>
      <c r="AI179" s="20">
        <f>IF($D$2="JA",Dashboard!$K$26-$AH$11+AH179,Dashboard!$K$26)</f>
        <v>2.3800000000000002E-2</v>
      </c>
      <c r="AJ179" s="27">
        <f>Tabel2[[#This Row],[Schuldrest]]*AI179/12</f>
        <v>247.59741269135688</v>
      </c>
      <c r="AK179" s="20">
        <f>IF($D$2="JA",Dashboard!$K$27-$AH$11+AH179,Dashboard!$K$27)</f>
        <v>2.3800000000000002E-2</v>
      </c>
      <c r="AL179" s="27">
        <f t="shared" si="36"/>
        <v>0</v>
      </c>
      <c r="AM179" s="20">
        <f>IF($D$2="JA",Dashboard!$K$28-$AH$11+AH179,Dashboard!$K$28)</f>
        <v>2.3800000000000002E-2</v>
      </c>
      <c r="AN179" s="27">
        <f t="shared" si="37"/>
        <v>0</v>
      </c>
      <c r="AO179" s="63">
        <f>Tabel2[[#This Row],[Aflossing]]+V179</f>
        <v>534.87959745119713</v>
      </c>
      <c r="AP179" s="63">
        <f t="shared" si="51"/>
        <v>247.59741269135688</v>
      </c>
      <c r="AQ179" s="2">
        <f t="shared" si="38"/>
        <v>281.88418048717057</v>
      </c>
      <c r="AU179" s="20"/>
      <c r="AV179" s="20"/>
    </row>
    <row r="180" spans="1:48">
      <c r="A180" s="71">
        <v>169</v>
      </c>
      <c r="B180" s="77">
        <f t="shared" si="39"/>
        <v>124304.15201163628</v>
      </c>
      <c r="C180" s="73">
        <f>B180/Dashboard!$I$25</f>
        <v>0.49721660804654511</v>
      </c>
      <c r="D180" s="74">
        <f t="shared" si="40"/>
        <v>0</v>
      </c>
      <c r="E180" s="73">
        <f>IF($D$2="JA",Dashboard!$K$26-$D$11+D180,Dashboard!$K$26)</f>
        <v>2.3800000000000002E-2</v>
      </c>
      <c r="F180" s="72">
        <f t="shared" si="41"/>
        <v>246.53656815641196</v>
      </c>
      <c r="G180" s="72">
        <f t="shared" si="52"/>
        <v>535.9404419861421</v>
      </c>
      <c r="H180" s="72">
        <f>IFERROR(-PMT(E180^1/12,Dashboard!$I$30-A180,B180),0)</f>
        <v>782.47701014255404</v>
      </c>
      <c r="I180" s="75">
        <f t="shared" si="42"/>
        <v>782.47701014255404</v>
      </c>
      <c r="J180" s="76">
        <f t="shared" si="53"/>
        <v>125689.59557097127</v>
      </c>
      <c r="K180" s="76">
        <f>J180*Dashboard!$K$26/12</f>
        <v>280.70676344183585</v>
      </c>
      <c r="L180" s="76">
        <f t="shared" si="43"/>
        <v>528.37907913551931</v>
      </c>
      <c r="M180" s="76">
        <f>IF(H180=0,0,IFERROR(-PMT(Dashboard!$K$26^1/12,Dashboard!$I$30,Dashboard!$I$26),0))</f>
        <v>809.08584257735515</v>
      </c>
      <c r="P180" s="59">
        <v>169</v>
      </c>
      <c r="Q180" s="28">
        <f t="shared" si="44"/>
        <v>0</v>
      </c>
      <c r="R180" s="20">
        <f>Q180/Dashboard!$I$25</f>
        <v>0</v>
      </c>
      <c r="S180" s="20">
        <f t="shared" si="45"/>
        <v>0</v>
      </c>
      <c r="T180" s="20">
        <f>IF($D$2="JA",Dashboard!$K$27-$S$11+S180,Dashboard!$K$27)</f>
        <v>2.6800000000000001E-2</v>
      </c>
      <c r="U180" s="27">
        <f t="shared" si="46"/>
        <v>0</v>
      </c>
      <c r="V180" s="26">
        <f>IF(Q180&lt;=1,0,Dashboard!$I$27/Dashboard!$I$30)</f>
        <v>0</v>
      </c>
      <c r="W180" s="28">
        <f>Q180*Dashboard!$K$27/12</f>
        <v>0</v>
      </c>
      <c r="Y180" s="59">
        <v>169</v>
      </c>
      <c r="Z180" s="67">
        <f>Dashboard!$I$28</f>
        <v>0</v>
      </c>
      <c r="AA180" s="64">
        <f>IF(Z180&lt;=1,0,Dashboard!$I$30-Y180)</f>
        <v>0</v>
      </c>
      <c r="AB180" s="64">
        <f t="shared" si="47"/>
        <v>0</v>
      </c>
      <c r="AC180" s="1">
        <f>Dashboard!$K$28</f>
        <v>2.6800000000000001E-2</v>
      </c>
      <c r="AD180" s="28">
        <f t="shared" si="48"/>
        <v>0</v>
      </c>
      <c r="AF180" s="2">
        <f t="shared" si="49"/>
        <v>124304.15201163628</v>
      </c>
      <c r="AG180" s="62">
        <f>(B180+Q180+Z180)/Dashboard!$I$25</f>
        <v>0.49721660804654511</v>
      </c>
      <c r="AH180" s="20">
        <f t="shared" si="50"/>
        <v>0</v>
      </c>
      <c r="AI180" s="20">
        <f>IF($D$2="JA",Dashboard!$K$26-$AH$11+AH180,Dashboard!$K$26)</f>
        <v>2.3800000000000002E-2</v>
      </c>
      <c r="AJ180" s="27">
        <f>Tabel2[[#This Row],[Schuldrest]]*AI180/12</f>
        <v>246.53656815641196</v>
      </c>
      <c r="AK180" s="20">
        <f>IF($D$2="JA",Dashboard!$K$27-$AH$11+AH180,Dashboard!$K$27)</f>
        <v>2.3800000000000002E-2</v>
      </c>
      <c r="AL180" s="27">
        <f t="shared" si="36"/>
        <v>0</v>
      </c>
      <c r="AM180" s="20">
        <f>IF($D$2="JA",Dashboard!$K$28-$AH$11+AH180,Dashboard!$K$28)</f>
        <v>2.3800000000000002E-2</v>
      </c>
      <c r="AN180" s="27">
        <f t="shared" si="37"/>
        <v>0</v>
      </c>
      <c r="AO180" s="63">
        <f>Tabel2[[#This Row],[Aflossing]]+V180</f>
        <v>535.9404419861421</v>
      </c>
      <c r="AP180" s="63">
        <f t="shared" si="51"/>
        <v>246.53656815641196</v>
      </c>
      <c r="AQ180" s="2">
        <f t="shared" si="38"/>
        <v>280.70676344183585</v>
      </c>
      <c r="AU180" s="20"/>
      <c r="AV180" s="20"/>
    </row>
    <row r="181" spans="1:48">
      <c r="A181" s="71">
        <v>170</v>
      </c>
      <c r="B181" s="77">
        <f t="shared" si="39"/>
        <v>123768.21156965014</v>
      </c>
      <c r="C181" s="73">
        <f>B181/Dashboard!$I$25</f>
        <v>0.49507284627860054</v>
      </c>
      <c r="D181" s="74">
        <f t="shared" si="40"/>
        <v>0</v>
      </c>
      <c r="E181" s="73">
        <f>IF($D$2="JA",Dashboard!$K$26-$D$11+D181,Dashboard!$K$26)</f>
        <v>2.3800000000000002E-2</v>
      </c>
      <c r="F181" s="72">
        <f t="shared" si="41"/>
        <v>245.47361961313948</v>
      </c>
      <c r="G181" s="72">
        <f t="shared" si="52"/>
        <v>537.00339052941445</v>
      </c>
      <c r="H181" s="72">
        <f>IFERROR(-PMT(E181^1/12,Dashboard!$I$30-A181,B181),0)</f>
        <v>782.47701014255392</v>
      </c>
      <c r="I181" s="75">
        <f t="shared" si="42"/>
        <v>782.47701014255392</v>
      </c>
      <c r="J181" s="76">
        <f t="shared" si="53"/>
        <v>125161.21649183576</v>
      </c>
      <c r="K181" s="76">
        <f>J181*Dashboard!$K$26/12</f>
        <v>279.52671683176652</v>
      </c>
      <c r="L181" s="76">
        <f t="shared" si="43"/>
        <v>529.55912574558863</v>
      </c>
      <c r="M181" s="76">
        <f>IF(H181=0,0,IFERROR(-PMT(Dashboard!$K$26^1/12,Dashboard!$I$30,Dashboard!$I$26),0))</f>
        <v>809.08584257735515</v>
      </c>
      <c r="P181" s="59">
        <v>170</v>
      </c>
      <c r="Q181" s="28">
        <f t="shared" si="44"/>
        <v>0</v>
      </c>
      <c r="R181" s="20">
        <f>Q181/Dashboard!$I$25</f>
        <v>0</v>
      </c>
      <c r="S181" s="20">
        <f t="shared" si="45"/>
        <v>0</v>
      </c>
      <c r="T181" s="20">
        <f>IF($D$2="JA",Dashboard!$K$27-$S$11+S181,Dashboard!$K$27)</f>
        <v>2.6800000000000001E-2</v>
      </c>
      <c r="U181" s="27">
        <f t="shared" si="46"/>
        <v>0</v>
      </c>
      <c r="V181" s="26">
        <f>IF(Q181&lt;=1,0,Dashboard!$I$27/Dashboard!$I$30)</f>
        <v>0</v>
      </c>
      <c r="W181" s="28">
        <f>Q181*Dashboard!$K$27/12</f>
        <v>0</v>
      </c>
      <c r="Y181" s="59">
        <v>170</v>
      </c>
      <c r="Z181" s="67">
        <f>Dashboard!$I$28</f>
        <v>0</v>
      </c>
      <c r="AA181" s="64">
        <f>IF(Z181&lt;=1,0,Dashboard!$I$30-Y181)</f>
        <v>0</v>
      </c>
      <c r="AB181" s="64">
        <f t="shared" si="47"/>
        <v>0</v>
      </c>
      <c r="AC181" s="1">
        <f>Dashboard!$K$28</f>
        <v>2.6800000000000001E-2</v>
      </c>
      <c r="AD181" s="28">
        <f t="shared" si="48"/>
        <v>0</v>
      </c>
      <c r="AF181" s="2">
        <f t="shared" si="49"/>
        <v>123768.21156965014</v>
      </c>
      <c r="AG181" s="62">
        <f>(B181+Q181+Z181)/Dashboard!$I$25</f>
        <v>0.49507284627860054</v>
      </c>
      <c r="AH181" s="20">
        <f t="shared" si="50"/>
        <v>0</v>
      </c>
      <c r="AI181" s="20">
        <f>IF($D$2="JA",Dashboard!$K$26-$AH$11+AH181,Dashboard!$K$26)</f>
        <v>2.3800000000000002E-2</v>
      </c>
      <c r="AJ181" s="27">
        <f>Tabel2[[#This Row],[Schuldrest]]*AI181/12</f>
        <v>245.47361961313948</v>
      </c>
      <c r="AK181" s="20">
        <f>IF($D$2="JA",Dashboard!$K$27-$AH$11+AH181,Dashboard!$K$27)</f>
        <v>2.3800000000000002E-2</v>
      </c>
      <c r="AL181" s="27">
        <f t="shared" si="36"/>
        <v>0</v>
      </c>
      <c r="AM181" s="20">
        <f>IF($D$2="JA",Dashboard!$K$28-$AH$11+AH181,Dashboard!$K$28)</f>
        <v>2.3800000000000002E-2</v>
      </c>
      <c r="AN181" s="27">
        <f t="shared" si="37"/>
        <v>0</v>
      </c>
      <c r="AO181" s="63">
        <f>Tabel2[[#This Row],[Aflossing]]+V181</f>
        <v>537.00339052941445</v>
      </c>
      <c r="AP181" s="63">
        <f t="shared" si="51"/>
        <v>245.47361961313948</v>
      </c>
      <c r="AQ181" s="2">
        <f t="shared" si="38"/>
        <v>279.52671683176652</v>
      </c>
      <c r="AU181" s="20"/>
      <c r="AV181" s="20"/>
    </row>
    <row r="182" spans="1:48">
      <c r="A182" s="71">
        <v>171</v>
      </c>
      <c r="B182" s="77">
        <f t="shared" si="39"/>
        <v>123231.20817912073</v>
      </c>
      <c r="C182" s="73">
        <f>B182/Dashboard!$I$25</f>
        <v>0.49292483271648291</v>
      </c>
      <c r="D182" s="74">
        <f t="shared" si="40"/>
        <v>0</v>
      </c>
      <c r="E182" s="73">
        <f>IF($D$2="JA",Dashboard!$K$26-$D$11+D182,Dashboard!$K$26)</f>
        <v>2.3800000000000002E-2</v>
      </c>
      <c r="F182" s="72">
        <f t="shared" si="41"/>
        <v>244.40856288858947</v>
      </c>
      <c r="G182" s="72">
        <f t="shared" si="52"/>
        <v>538.06844725396456</v>
      </c>
      <c r="H182" s="72">
        <f>IFERROR(-PMT(E182^1/12,Dashboard!$I$30-A182,B182),0)</f>
        <v>782.47701014255404</v>
      </c>
      <c r="I182" s="75">
        <f t="shared" si="42"/>
        <v>782.47701014255404</v>
      </c>
      <c r="J182" s="76">
        <f t="shared" si="53"/>
        <v>124631.65736609018</v>
      </c>
      <c r="K182" s="76">
        <f>J182*Dashboard!$K$26/12</f>
        <v>278.3440347842681</v>
      </c>
      <c r="L182" s="76">
        <f t="shared" si="43"/>
        <v>530.74180779308699</v>
      </c>
      <c r="M182" s="76">
        <f>IF(H182=0,0,IFERROR(-PMT(Dashboard!$K$26^1/12,Dashboard!$I$30,Dashboard!$I$26),0))</f>
        <v>809.08584257735515</v>
      </c>
      <c r="P182" s="59">
        <v>171</v>
      </c>
      <c r="Q182" s="28">
        <f t="shared" si="44"/>
        <v>0</v>
      </c>
      <c r="R182" s="20">
        <f>Q182/Dashboard!$I$25</f>
        <v>0</v>
      </c>
      <c r="S182" s="20">
        <f t="shared" si="45"/>
        <v>0</v>
      </c>
      <c r="T182" s="20">
        <f>IF($D$2="JA",Dashboard!$K$27-$S$11+S182,Dashboard!$K$27)</f>
        <v>2.6800000000000001E-2</v>
      </c>
      <c r="U182" s="27">
        <f t="shared" si="46"/>
        <v>0</v>
      </c>
      <c r="V182" s="26">
        <f>IF(Q182&lt;=1,0,Dashboard!$I$27/Dashboard!$I$30)</f>
        <v>0</v>
      </c>
      <c r="W182" s="28">
        <f>Q182*Dashboard!$K$27/12</f>
        <v>0</v>
      </c>
      <c r="Y182" s="59">
        <v>171</v>
      </c>
      <c r="Z182" s="67">
        <f>Dashboard!$I$28</f>
        <v>0</v>
      </c>
      <c r="AA182" s="64">
        <f>IF(Z182&lt;=1,0,Dashboard!$I$30-Y182)</f>
        <v>0</v>
      </c>
      <c r="AB182" s="64">
        <f t="shared" si="47"/>
        <v>0</v>
      </c>
      <c r="AC182" s="1">
        <f>Dashboard!$K$28</f>
        <v>2.6800000000000001E-2</v>
      </c>
      <c r="AD182" s="28">
        <f t="shared" si="48"/>
        <v>0</v>
      </c>
      <c r="AF182" s="2">
        <f t="shared" si="49"/>
        <v>123231.20817912073</v>
      </c>
      <c r="AG182" s="62">
        <f>(B182+Q182+Z182)/Dashboard!$I$25</f>
        <v>0.49292483271648291</v>
      </c>
      <c r="AH182" s="20">
        <f t="shared" si="50"/>
        <v>0</v>
      </c>
      <c r="AI182" s="20">
        <f>IF($D$2="JA",Dashboard!$K$26-$AH$11+AH182,Dashboard!$K$26)</f>
        <v>2.3800000000000002E-2</v>
      </c>
      <c r="AJ182" s="27">
        <f>Tabel2[[#This Row],[Schuldrest]]*AI182/12</f>
        <v>244.40856288858947</v>
      </c>
      <c r="AK182" s="20">
        <f>IF($D$2="JA",Dashboard!$K$27-$AH$11+AH182,Dashboard!$K$27)</f>
        <v>2.3800000000000002E-2</v>
      </c>
      <c r="AL182" s="27">
        <f t="shared" si="36"/>
        <v>0</v>
      </c>
      <c r="AM182" s="20">
        <f>IF($D$2="JA",Dashboard!$K$28-$AH$11+AH182,Dashboard!$K$28)</f>
        <v>2.3800000000000002E-2</v>
      </c>
      <c r="AN182" s="27">
        <f t="shared" si="37"/>
        <v>0</v>
      </c>
      <c r="AO182" s="63">
        <f>Tabel2[[#This Row],[Aflossing]]+V182</f>
        <v>538.06844725396456</v>
      </c>
      <c r="AP182" s="63">
        <f t="shared" si="51"/>
        <v>244.40856288858947</v>
      </c>
      <c r="AQ182" s="2">
        <f t="shared" si="38"/>
        <v>278.3440347842681</v>
      </c>
      <c r="AU182" s="20"/>
      <c r="AV182" s="20"/>
    </row>
    <row r="183" spans="1:48">
      <c r="A183" s="71">
        <v>172</v>
      </c>
      <c r="B183" s="77">
        <f t="shared" si="39"/>
        <v>122693.13973186677</v>
      </c>
      <c r="C183" s="73">
        <f>B183/Dashboard!$I$25</f>
        <v>0.49077255892746707</v>
      </c>
      <c r="D183" s="74">
        <f t="shared" si="40"/>
        <v>0</v>
      </c>
      <c r="E183" s="73">
        <f>IF($D$2="JA",Dashboard!$K$26-$D$11+D183,Dashboard!$K$26)</f>
        <v>2.3800000000000002E-2</v>
      </c>
      <c r="F183" s="72">
        <f t="shared" si="41"/>
        <v>243.34139380153579</v>
      </c>
      <c r="G183" s="72">
        <f t="shared" si="52"/>
        <v>539.13561634101848</v>
      </c>
      <c r="H183" s="72">
        <f>IFERROR(-PMT(E183^1/12,Dashboard!$I$30-A183,B183),0)</f>
        <v>782.47701014255426</v>
      </c>
      <c r="I183" s="75">
        <f t="shared" si="42"/>
        <v>782.47701014255426</v>
      </c>
      <c r="J183" s="76">
        <f t="shared" si="53"/>
        <v>124100.91555829709</v>
      </c>
      <c r="K183" s="76">
        <f>J183*Dashboard!$K$26/12</f>
        <v>277.15871141353017</v>
      </c>
      <c r="L183" s="76">
        <f t="shared" si="43"/>
        <v>531.92713116382492</v>
      </c>
      <c r="M183" s="76">
        <f>IF(H183=0,0,IFERROR(-PMT(Dashboard!$K$26^1/12,Dashboard!$I$30,Dashboard!$I$26),0))</f>
        <v>809.08584257735515</v>
      </c>
      <c r="P183" s="59">
        <v>172</v>
      </c>
      <c r="Q183" s="28">
        <f t="shared" si="44"/>
        <v>0</v>
      </c>
      <c r="R183" s="20">
        <f>Q183/Dashboard!$I$25</f>
        <v>0</v>
      </c>
      <c r="S183" s="20">
        <f t="shared" si="45"/>
        <v>0</v>
      </c>
      <c r="T183" s="20">
        <f>IF($D$2="JA",Dashboard!$K$27-$S$11+S183,Dashboard!$K$27)</f>
        <v>2.6800000000000001E-2</v>
      </c>
      <c r="U183" s="27">
        <f t="shared" si="46"/>
        <v>0</v>
      </c>
      <c r="V183" s="26">
        <f>IF(Q183&lt;=1,0,Dashboard!$I$27/Dashboard!$I$30)</f>
        <v>0</v>
      </c>
      <c r="W183" s="28">
        <f>Q183*Dashboard!$K$27/12</f>
        <v>0</v>
      </c>
      <c r="Y183" s="59">
        <v>172</v>
      </c>
      <c r="Z183" s="67">
        <f>Dashboard!$I$28</f>
        <v>0</v>
      </c>
      <c r="AA183" s="64">
        <f>IF(Z183&lt;=1,0,Dashboard!$I$30-Y183)</f>
        <v>0</v>
      </c>
      <c r="AB183" s="64">
        <f t="shared" si="47"/>
        <v>0</v>
      </c>
      <c r="AC183" s="1">
        <f>Dashboard!$K$28</f>
        <v>2.6800000000000001E-2</v>
      </c>
      <c r="AD183" s="28">
        <f t="shared" si="48"/>
        <v>0</v>
      </c>
      <c r="AF183" s="2">
        <f t="shared" si="49"/>
        <v>122693.13973186677</v>
      </c>
      <c r="AG183" s="62">
        <f>(B183+Q183+Z183)/Dashboard!$I$25</f>
        <v>0.49077255892746707</v>
      </c>
      <c r="AH183" s="20">
        <f t="shared" si="50"/>
        <v>0</v>
      </c>
      <c r="AI183" s="20">
        <f>IF($D$2="JA",Dashboard!$K$26-$AH$11+AH183,Dashboard!$K$26)</f>
        <v>2.3800000000000002E-2</v>
      </c>
      <c r="AJ183" s="27">
        <f>Tabel2[[#This Row],[Schuldrest]]*AI183/12</f>
        <v>243.34139380153579</v>
      </c>
      <c r="AK183" s="20">
        <f>IF($D$2="JA",Dashboard!$K$27-$AH$11+AH183,Dashboard!$K$27)</f>
        <v>2.3800000000000002E-2</v>
      </c>
      <c r="AL183" s="27">
        <f t="shared" si="36"/>
        <v>0</v>
      </c>
      <c r="AM183" s="20">
        <f>IF($D$2="JA",Dashboard!$K$28-$AH$11+AH183,Dashboard!$K$28)</f>
        <v>2.3800000000000002E-2</v>
      </c>
      <c r="AN183" s="27">
        <f t="shared" si="37"/>
        <v>0</v>
      </c>
      <c r="AO183" s="63">
        <f>Tabel2[[#This Row],[Aflossing]]+V183</f>
        <v>539.13561634101848</v>
      </c>
      <c r="AP183" s="63">
        <f t="shared" si="51"/>
        <v>243.34139380153579</v>
      </c>
      <c r="AQ183" s="2">
        <f t="shared" si="38"/>
        <v>277.15871141353017</v>
      </c>
      <c r="AU183" s="20"/>
      <c r="AV183" s="20"/>
    </row>
    <row r="184" spans="1:48">
      <c r="A184" s="71">
        <v>173</v>
      </c>
      <c r="B184" s="77">
        <f t="shared" si="39"/>
        <v>122154.00411552575</v>
      </c>
      <c r="C184" s="73">
        <f>B184/Dashboard!$I$25</f>
        <v>0.48861601646210301</v>
      </c>
      <c r="D184" s="74">
        <f t="shared" si="40"/>
        <v>0</v>
      </c>
      <c r="E184" s="73">
        <f>IF($D$2="JA",Dashboard!$K$26-$D$11+D184,Dashboard!$K$26)</f>
        <v>2.3800000000000002E-2</v>
      </c>
      <c r="F184" s="72">
        <f t="shared" si="41"/>
        <v>242.2721081624594</v>
      </c>
      <c r="G184" s="72">
        <f t="shared" si="52"/>
        <v>540.20490198009475</v>
      </c>
      <c r="H184" s="72">
        <f>IFERROR(-PMT(E184^1/12,Dashboard!$I$30-A184,B184),0)</f>
        <v>782.47701014255415</v>
      </c>
      <c r="I184" s="75">
        <f t="shared" si="42"/>
        <v>782.47701014255415</v>
      </c>
      <c r="J184" s="76">
        <f t="shared" si="53"/>
        <v>123568.98842713326</v>
      </c>
      <c r="K184" s="76">
        <f>J184*Dashboard!$K$26/12</f>
        <v>275.9707408205976</v>
      </c>
      <c r="L184" s="76">
        <f t="shared" si="43"/>
        <v>533.11510175675755</v>
      </c>
      <c r="M184" s="76">
        <f>IF(H184=0,0,IFERROR(-PMT(Dashboard!$K$26^1/12,Dashboard!$I$30,Dashboard!$I$26),0))</f>
        <v>809.08584257735515</v>
      </c>
      <c r="P184" s="59">
        <v>173</v>
      </c>
      <c r="Q184" s="28">
        <f t="shared" si="44"/>
        <v>0</v>
      </c>
      <c r="R184" s="20">
        <f>Q184/Dashboard!$I$25</f>
        <v>0</v>
      </c>
      <c r="S184" s="20">
        <f t="shared" si="45"/>
        <v>0</v>
      </c>
      <c r="T184" s="20">
        <f>IF($D$2="JA",Dashboard!$K$27-$S$11+S184,Dashboard!$K$27)</f>
        <v>2.6800000000000001E-2</v>
      </c>
      <c r="U184" s="27">
        <f t="shared" si="46"/>
        <v>0</v>
      </c>
      <c r="V184" s="26">
        <f>IF(Q184&lt;=1,0,Dashboard!$I$27/Dashboard!$I$30)</f>
        <v>0</v>
      </c>
      <c r="W184" s="28">
        <f>Q184*Dashboard!$K$27/12</f>
        <v>0</v>
      </c>
      <c r="Y184" s="59">
        <v>173</v>
      </c>
      <c r="Z184" s="67">
        <f>Dashboard!$I$28</f>
        <v>0</v>
      </c>
      <c r="AA184" s="64">
        <f>IF(Z184&lt;=1,0,Dashboard!$I$30-Y184)</f>
        <v>0</v>
      </c>
      <c r="AB184" s="64">
        <f t="shared" si="47"/>
        <v>0</v>
      </c>
      <c r="AC184" s="1">
        <f>Dashboard!$K$28</f>
        <v>2.6800000000000001E-2</v>
      </c>
      <c r="AD184" s="28">
        <f t="shared" si="48"/>
        <v>0</v>
      </c>
      <c r="AF184" s="2">
        <f t="shared" si="49"/>
        <v>122154.00411552575</v>
      </c>
      <c r="AG184" s="62">
        <f>(B184+Q184+Z184)/Dashboard!$I$25</f>
        <v>0.48861601646210301</v>
      </c>
      <c r="AH184" s="20">
        <f t="shared" si="50"/>
        <v>0</v>
      </c>
      <c r="AI184" s="20">
        <f>IF($D$2="JA",Dashboard!$K$26-$AH$11+AH184,Dashboard!$K$26)</f>
        <v>2.3800000000000002E-2</v>
      </c>
      <c r="AJ184" s="27">
        <f>Tabel2[[#This Row],[Schuldrest]]*AI184/12</f>
        <v>242.2721081624594</v>
      </c>
      <c r="AK184" s="20">
        <f>IF($D$2="JA",Dashboard!$K$27-$AH$11+AH184,Dashboard!$K$27)</f>
        <v>2.3800000000000002E-2</v>
      </c>
      <c r="AL184" s="27">
        <f t="shared" si="36"/>
        <v>0</v>
      </c>
      <c r="AM184" s="20">
        <f>IF($D$2="JA",Dashboard!$K$28-$AH$11+AH184,Dashboard!$K$28)</f>
        <v>2.3800000000000002E-2</v>
      </c>
      <c r="AN184" s="27">
        <f t="shared" si="37"/>
        <v>0</v>
      </c>
      <c r="AO184" s="63">
        <f>Tabel2[[#This Row],[Aflossing]]+V184</f>
        <v>540.20490198009475</v>
      </c>
      <c r="AP184" s="63">
        <f t="shared" si="51"/>
        <v>242.2721081624594</v>
      </c>
      <c r="AQ184" s="2">
        <f t="shared" si="38"/>
        <v>275.9707408205976</v>
      </c>
      <c r="AU184" s="20"/>
      <c r="AV184" s="20"/>
    </row>
    <row r="185" spans="1:48">
      <c r="A185" s="71">
        <v>174</v>
      </c>
      <c r="B185" s="77">
        <f t="shared" si="39"/>
        <v>121613.79921354566</v>
      </c>
      <c r="C185" s="73">
        <f>B185/Dashboard!$I$25</f>
        <v>0.48645519685418265</v>
      </c>
      <c r="D185" s="74">
        <f t="shared" si="40"/>
        <v>0</v>
      </c>
      <c r="E185" s="73">
        <f>IF($D$2="JA",Dashboard!$K$26-$D$11+D185,Dashboard!$K$26)</f>
        <v>2.3800000000000002E-2</v>
      </c>
      <c r="F185" s="72">
        <f t="shared" si="41"/>
        <v>241.20070177353224</v>
      </c>
      <c r="G185" s="72">
        <f t="shared" si="52"/>
        <v>541.27630836902188</v>
      </c>
      <c r="H185" s="72">
        <f>IFERROR(-PMT(E185^1/12,Dashboard!$I$30-A185,B185),0)</f>
        <v>782.47701014255415</v>
      </c>
      <c r="I185" s="75">
        <f t="shared" si="42"/>
        <v>782.47701014255415</v>
      </c>
      <c r="J185" s="76">
        <f t="shared" si="53"/>
        <v>123035.87332537649</v>
      </c>
      <c r="K185" s="76">
        <f>J185*Dashboard!$K$26/12</f>
        <v>274.78011709334083</v>
      </c>
      <c r="L185" s="76">
        <f t="shared" si="43"/>
        <v>534.30572548401437</v>
      </c>
      <c r="M185" s="76">
        <f>IF(H185=0,0,IFERROR(-PMT(Dashboard!$K$26^1/12,Dashboard!$I$30,Dashboard!$I$26),0))</f>
        <v>809.08584257735515</v>
      </c>
      <c r="P185" s="59">
        <v>174</v>
      </c>
      <c r="Q185" s="28">
        <f t="shared" si="44"/>
        <v>0</v>
      </c>
      <c r="R185" s="20">
        <f>Q185/Dashboard!$I$25</f>
        <v>0</v>
      </c>
      <c r="S185" s="20">
        <f t="shared" si="45"/>
        <v>0</v>
      </c>
      <c r="T185" s="20">
        <f>IF($D$2="JA",Dashboard!$K$27-$S$11+S185,Dashboard!$K$27)</f>
        <v>2.6800000000000001E-2</v>
      </c>
      <c r="U185" s="27">
        <f t="shared" si="46"/>
        <v>0</v>
      </c>
      <c r="V185" s="26">
        <f>IF(Q185&lt;=1,0,Dashboard!$I$27/Dashboard!$I$30)</f>
        <v>0</v>
      </c>
      <c r="W185" s="28">
        <f>Q185*Dashboard!$K$27/12</f>
        <v>0</v>
      </c>
      <c r="Y185" s="59">
        <v>174</v>
      </c>
      <c r="Z185" s="67">
        <f>Dashboard!$I$28</f>
        <v>0</v>
      </c>
      <c r="AA185" s="64">
        <f>IF(Z185&lt;=1,0,Dashboard!$I$30-Y185)</f>
        <v>0</v>
      </c>
      <c r="AB185" s="64">
        <f t="shared" si="47"/>
        <v>0</v>
      </c>
      <c r="AC185" s="1">
        <f>Dashboard!$K$28</f>
        <v>2.6800000000000001E-2</v>
      </c>
      <c r="AD185" s="28">
        <f t="shared" si="48"/>
        <v>0</v>
      </c>
      <c r="AF185" s="2">
        <f t="shared" si="49"/>
        <v>121613.79921354566</v>
      </c>
      <c r="AG185" s="62">
        <f>(B185+Q185+Z185)/Dashboard!$I$25</f>
        <v>0.48645519685418265</v>
      </c>
      <c r="AH185" s="20">
        <f t="shared" si="50"/>
        <v>0</v>
      </c>
      <c r="AI185" s="20">
        <f>IF($D$2="JA",Dashboard!$K$26-$AH$11+AH185,Dashboard!$K$26)</f>
        <v>2.3800000000000002E-2</v>
      </c>
      <c r="AJ185" s="27">
        <f>Tabel2[[#This Row],[Schuldrest]]*AI185/12</f>
        <v>241.20070177353224</v>
      </c>
      <c r="AK185" s="20">
        <f>IF($D$2="JA",Dashboard!$K$27-$AH$11+AH185,Dashboard!$K$27)</f>
        <v>2.3800000000000002E-2</v>
      </c>
      <c r="AL185" s="27">
        <f t="shared" si="36"/>
        <v>0</v>
      </c>
      <c r="AM185" s="20">
        <f>IF($D$2="JA",Dashboard!$K$28-$AH$11+AH185,Dashboard!$K$28)</f>
        <v>2.3800000000000002E-2</v>
      </c>
      <c r="AN185" s="27">
        <f t="shared" si="37"/>
        <v>0</v>
      </c>
      <c r="AO185" s="63">
        <f>Tabel2[[#This Row],[Aflossing]]+V185</f>
        <v>541.27630836902188</v>
      </c>
      <c r="AP185" s="63">
        <f t="shared" si="51"/>
        <v>241.20070177353224</v>
      </c>
      <c r="AQ185" s="2">
        <f t="shared" si="38"/>
        <v>274.78011709334083</v>
      </c>
      <c r="AU185" s="20"/>
      <c r="AV185" s="20"/>
    </row>
    <row r="186" spans="1:48">
      <c r="A186" s="71">
        <v>175</v>
      </c>
      <c r="B186" s="77">
        <f t="shared" si="39"/>
        <v>121072.52290517664</v>
      </c>
      <c r="C186" s="73">
        <f>B186/Dashboard!$I$25</f>
        <v>0.48429009162070652</v>
      </c>
      <c r="D186" s="74">
        <f t="shared" si="40"/>
        <v>0</v>
      </c>
      <c r="E186" s="73">
        <f>IF($D$2="JA",Dashboard!$K$26-$D$11+D186,Dashboard!$K$26)</f>
        <v>2.3800000000000002E-2</v>
      </c>
      <c r="F186" s="72">
        <f t="shared" si="41"/>
        <v>240.12717042860035</v>
      </c>
      <c r="G186" s="72">
        <f t="shared" si="52"/>
        <v>542.34983971395377</v>
      </c>
      <c r="H186" s="72">
        <f>IFERROR(-PMT(E186^1/12,Dashboard!$I$30-A186,B186),0)</f>
        <v>782.47701014255415</v>
      </c>
      <c r="I186" s="75">
        <f t="shared" si="42"/>
        <v>782.47701014255415</v>
      </c>
      <c r="J186" s="76">
        <f t="shared" si="53"/>
        <v>122501.56759989249</v>
      </c>
      <c r="K186" s="76">
        <f>J186*Dashboard!$K$26/12</f>
        <v>273.58683430642657</v>
      </c>
      <c r="L186" s="76">
        <f t="shared" si="43"/>
        <v>535.49900827092858</v>
      </c>
      <c r="M186" s="76">
        <f>IF(H186=0,0,IFERROR(-PMT(Dashboard!$K$26^1/12,Dashboard!$I$30,Dashboard!$I$26),0))</f>
        <v>809.08584257735515</v>
      </c>
      <c r="P186" s="59">
        <v>175</v>
      </c>
      <c r="Q186" s="28">
        <f t="shared" si="44"/>
        <v>0</v>
      </c>
      <c r="R186" s="20">
        <f>Q186/Dashboard!$I$25</f>
        <v>0</v>
      </c>
      <c r="S186" s="20">
        <f t="shared" si="45"/>
        <v>0</v>
      </c>
      <c r="T186" s="20">
        <f>IF($D$2="JA",Dashboard!$K$27-$S$11+S186,Dashboard!$K$27)</f>
        <v>2.6800000000000001E-2</v>
      </c>
      <c r="U186" s="27">
        <f t="shared" si="46"/>
        <v>0</v>
      </c>
      <c r="V186" s="26">
        <f>IF(Q186&lt;=1,0,Dashboard!$I$27/Dashboard!$I$30)</f>
        <v>0</v>
      </c>
      <c r="W186" s="28">
        <f>Q186*Dashboard!$K$27/12</f>
        <v>0</v>
      </c>
      <c r="Y186" s="59">
        <v>175</v>
      </c>
      <c r="Z186" s="67">
        <f>Dashboard!$I$28</f>
        <v>0</v>
      </c>
      <c r="AA186" s="64">
        <f>IF(Z186&lt;=1,0,Dashboard!$I$30-Y186)</f>
        <v>0</v>
      </c>
      <c r="AB186" s="64">
        <f t="shared" si="47"/>
        <v>0</v>
      </c>
      <c r="AC186" s="1">
        <f>Dashboard!$K$28</f>
        <v>2.6800000000000001E-2</v>
      </c>
      <c r="AD186" s="28">
        <f t="shared" si="48"/>
        <v>0</v>
      </c>
      <c r="AF186" s="2">
        <f t="shared" si="49"/>
        <v>121072.52290517664</v>
      </c>
      <c r="AG186" s="62">
        <f>(B186+Q186+Z186)/Dashboard!$I$25</f>
        <v>0.48429009162070652</v>
      </c>
      <c r="AH186" s="20">
        <f t="shared" si="50"/>
        <v>0</v>
      </c>
      <c r="AI186" s="20">
        <f>IF($D$2="JA",Dashboard!$K$26-$AH$11+AH186,Dashboard!$K$26)</f>
        <v>2.3800000000000002E-2</v>
      </c>
      <c r="AJ186" s="27">
        <f>Tabel2[[#This Row],[Schuldrest]]*AI186/12</f>
        <v>240.12717042860035</v>
      </c>
      <c r="AK186" s="20">
        <f>IF($D$2="JA",Dashboard!$K$27-$AH$11+AH186,Dashboard!$K$27)</f>
        <v>2.3800000000000002E-2</v>
      </c>
      <c r="AL186" s="27">
        <f t="shared" si="36"/>
        <v>0</v>
      </c>
      <c r="AM186" s="20">
        <f>IF($D$2="JA",Dashboard!$K$28-$AH$11+AH186,Dashboard!$K$28)</f>
        <v>2.3800000000000002E-2</v>
      </c>
      <c r="AN186" s="27">
        <f t="shared" si="37"/>
        <v>0</v>
      </c>
      <c r="AO186" s="63">
        <f>Tabel2[[#This Row],[Aflossing]]+V186</f>
        <v>542.34983971395377</v>
      </c>
      <c r="AP186" s="63">
        <f t="shared" si="51"/>
        <v>240.12717042860035</v>
      </c>
      <c r="AQ186" s="2">
        <f t="shared" si="38"/>
        <v>273.58683430642657</v>
      </c>
      <c r="AU186" s="20"/>
      <c r="AV186" s="20"/>
    </row>
    <row r="187" spans="1:48">
      <c r="A187" s="71">
        <v>176</v>
      </c>
      <c r="B187" s="77">
        <f t="shared" si="39"/>
        <v>120530.17306546269</v>
      </c>
      <c r="C187" s="73">
        <f>B187/Dashboard!$I$25</f>
        <v>0.48212069226185073</v>
      </c>
      <c r="D187" s="74">
        <f t="shared" si="40"/>
        <v>0</v>
      </c>
      <c r="E187" s="73">
        <f>IF($D$2="JA",Dashboard!$K$26-$D$11+D187,Dashboard!$K$26)</f>
        <v>2.3800000000000002E-2</v>
      </c>
      <c r="F187" s="72">
        <f t="shared" si="41"/>
        <v>239.05150991316768</v>
      </c>
      <c r="G187" s="72">
        <f t="shared" si="52"/>
        <v>543.42550022938644</v>
      </c>
      <c r="H187" s="72">
        <f>IFERROR(-PMT(E187^1/12,Dashboard!$I$30-A187,B187),0)</f>
        <v>782.47701014255415</v>
      </c>
      <c r="I187" s="75">
        <f t="shared" si="42"/>
        <v>782.47701014255415</v>
      </c>
      <c r="J187" s="76">
        <f t="shared" si="53"/>
        <v>121966.06859162156</v>
      </c>
      <c r="K187" s="76">
        <f>J187*Dashboard!$K$26/12</f>
        <v>272.39088652128817</v>
      </c>
      <c r="L187" s="76">
        <f t="shared" si="43"/>
        <v>536.69495605606699</v>
      </c>
      <c r="M187" s="76">
        <f>IF(H187=0,0,IFERROR(-PMT(Dashboard!$K$26^1/12,Dashboard!$I$30,Dashboard!$I$26),0))</f>
        <v>809.08584257735515</v>
      </c>
      <c r="P187" s="59">
        <v>176</v>
      </c>
      <c r="Q187" s="28">
        <f t="shared" si="44"/>
        <v>0</v>
      </c>
      <c r="R187" s="20">
        <f>Q187/Dashboard!$I$25</f>
        <v>0</v>
      </c>
      <c r="S187" s="20">
        <f t="shared" si="45"/>
        <v>0</v>
      </c>
      <c r="T187" s="20">
        <f>IF($D$2="JA",Dashboard!$K$27-$S$11+S187,Dashboard!$K$27)</f>
        <v>2.6800000000000001E-2</v>
      </c>
      <c r="U187" s="27">
        <f t="shared" si="46"/>
        <v>0</v>
      </c>
      <c r="V187" s="26">
        <f>IF(Q187&lt;=1,0,Dashboard!$I$27/Dashboard!$I$30)</f>
        <v>0</v>
      </c>
      <c r="W187" s="28">
        <f>Q187*Dashboard!$K$27/12</f>
        <v>0</v>
      </c>
      <c r="Y187" s="59">
        <v>176</v>
      </c>
      <c r="Z187" s="67">
        <f>Dashboard!$I$28</f>
        <v>0</v>
      </c>
      <c r="AA187" s="64">
        <f>IF(Z187&lt;=1,0,Dashboard!$I$30-Y187)</f>
        <v>0</v>
      </c>
      <c r="AB187" s="64">
        <f t="shared" si="47"/>
        <v>0</v>
      </c>
      <c r="AC187" s="1">
        <f>Dashboard!$K$28</f>
        <v>2.6800000000000001E-2</v>
      </c>
      <c r="AD187" s="28">
        <f t="shared" si="48"/>
        <v>0</v>
      </c>
      <c r="AF187" s="2">
        <f t="shared" si="49"/>
        <v>120530.17306546269</v>
      </c>
      <c r="AG187" s="62">
        <f>(B187+Q187+Z187)/Dashboard!$I$25</f>
        <v>0.48212069226185073</v>
      </c>
      <c r="AH187" s="20">
        <f t="shared" si="50"/>
        <v>0</v>
      </c>
      <c r="AI187" s="20">
        <f>IF($D$2="JA",Dashboard!$K$26-$AH$11+AH187,Dashboard!$K$26)</f>
        <v>2.3800000000000002E-2</v>
      </c>
      <c r="AJ187" s="27">
        <f>Tabel2[[#This Row],[Schuldrest]]*AI187/12</f>
        <v>239.05150991316768</v>
      </c>
      <c r="AK187" s="20">
        <f>IF($D$2="JA",Dashboard!$K$27-$AH$11+AH187,Dashboard!$K$27)</f>
        <v>2.3800000000000002E-2</v>
      </c>
      <c r="AL187" s="27">
        <f t="shared" si="36"/>
        <v>0</v>
      </c>
      <c r="AM187" s="20">
        <f>IF($D$2="JA",Dashboard!$K$28-$AH$11+AH187,Dashboard!$K$28)</f>
        <v>2.3800000000000002E-2</v>
      </c>
      <c r="AN187" s="27">
        <f t="shared" si="37"/>
        <v>0</v>
      </c>
      <c r="AO187" s="63">
        <f>Tabel2[[#This Row],[Aflossing]]+V187</f>
        <v>543.42550022938644</v>
      </c>
      <c r="AP187" s="63">
        <f t="shared" si="51"/>
        <v>239.05150991316768</v>
      </c>
      <c r="AQ187" s="2">
        <f t="shared" si="38"/>
        <v>272.39088652128817</v>
      </c>
      <c r="AU187" s="20"/>
      <c r="AV187" s="20"/>
    </row>
    <row r="188" spans="1:48">
      <c r="A188" s="71">
        <v>177</v>
      </c>
      <c r="B188" s="77">
        <f t="shared" si="39"/>
        <v>119986.74756523331</v>
      </c>
      <c r="C188" s="73">
        <f>B188/Dashboard!$I$25</f>
        <v>0.47994699026093324</v>
      </c>
      <c r="D188" s="74">
        <f t="shared" si="40"/>
        <v>0</v>
      </c>
      <c r="E188" s="73">
        <f>IF($D$2="JA",Dashboard!$K$26-$D$11+D188,Dashboard!$K$26)</f>
        <v>2.3800000000000002E-2</v>
      </c>
      <c r="F188" s="72">
        <f t="shared" si="41"/>
        <v>237.97371600437941</v>
      </c>
      <c r="G188" s="72">
        <f t="shared" si="52"/>
        <v>544.50329413817485</v>
      </c>
      <c r="H188" s="72">
        <f>IFERROR(-PMT(E188^1/12,Dashboard!$I$30-A188,B188),0)</f>
        <v>782.47701014255426</v>
      </c>
      <c r="I188" s="75">
        <f t="shared" si="42"/>
        <v>782.47701014255426</v>
      </c>
      <c r="J188" s="76">
        <f t="shared" si="53"/>
        <v>121429.3736355655</v>
      </c>
      <c r="K188" s="76">
        <f>J188*Dashboard!$K$26/12</f>
        <v>271.19226778609629</v>
      </c>
      <c r="L188" s="76">
        <f t="shared" si="43"/>
        <v>537.89357479125886</v>
      </c>
      <c r="M188" s="76">
        <f>IF(H188=0,0,IFERROR(-PMT(Dashboard!$K$26^1/12,Dashboard!$I$30,Dashboard!$I$26),0))</f>
        <v>809.08584257735515</v>
      </c>
      <c r="P188" s="59">
        <v>177</v>
      </c>
      <c r="Q188" s="28">
        <f t="shared" si="44"/>
        <v>0</v>
      </c>
      <c r="R188" s="20">
        <f>Q188/Dashboard!$I$25</f>
        <v>0</v>
      </c>
      <c r="S188" s="20">
        <f t="shared" si="45"/>
        <v>0</v>
      </c>
      <c r="T188" s="20">
        <f>IF($D$2="JA",Dashboard!$K$27-$S$11+S188,Dashboard!$K$27)</f>
        <v>2.6800000000000001E-2</v>
      </c>
      <c r="U188" s="27">
        <f t="shared" si="46"/>
        <v>0</v>
      </c>
      <c r="V188" s="26">
        <f>IF(Q188&lt;=1,0,Dashboard!$I$27/Dashboard!$I$30)</f>
        <v>0</v>
      </c>
      <c r="W188" s="28">
        <f>Q188*Dashboard!$K$27/12</f>
        <v>0</v>
      </c>
      <c r="Y188" s="59">
        <v>177</v>
      </c>
      <c r="Z188" s="67">
        <f>Dashboard!$I$28</f>
        <v>0</v>
      </c>
      <c r="AA188" s="64">
        <f>IF(Z188&lt;=1,0,Dashboard!$I$30-Y188)</f>
        <v>0</v>
      </c>
      <c r="AB188" s="64">
        <f t="shared" si="47"/>
        <v>0</v>
      </c>
      <c r="AC188" s="1">
        <f>Dashboard!$K$28</f>
        <v>2.6800000000000001E-2</v>
      </c>
      <c r="AD188" s="28">
        <f t="shared" si="48"/>
        <v>0</v>
      </c>
      <c r="AF188" s="2">
        <f t="shared" si="49"/>
        <v>119986.74756523331</v>
      </c>
      <c r="AG188" s="62">
        <f>(B188+Q188+Z188)/Dashboard!$I$25</f>
        <v>0.47994699026093324</v>
      </c>
      <c r="AH188" s="20">
        <f t="shared" si="50"/>
        <v>0</v>
      </c>
      <c r="AI188" s="20">
        <f>IF($D$2="JA",Dashboard!$K$26-$AH$11+AH188,Dashboard!$K$26)</f>
        <v>2.3800000000000002E-2</v>
      </c>
      <c r="AJ188" s="27">
        <f>Tabel2[[#This Row],[Schuldrest]]*AI188/12</f>
        <v>237.97371600437941</v>
      </c>
      <c r="AK188" s="20">
        <f>IF($D$2="JA",Dashboard!$K$27-$AH$11+AH188,Dashboard!$K$27)</f>
        <v>2.3800000000000002E-2</v>
      </c>
      <c r="AL188" s="27">
        <f t="shared" si="36"/>
        <v>0</v>
      </c>
      <c r="AM188" s="20">
        <f>IF($D$2="JA",Dashboard!$K$28-$AH$11+AH188,Dashboard!$K$28)</f>
        <v>2.3800000000000002E-2</v>
      </c>
      <c r="AN188" s="27">
        <f t="shared" si="37"/>
        <v>0</v>
      </c>
      <c r="AO188" s="63">
        <f>Tabel2[[#This Row],[Aflossing]]+V188</f>
        <v>544.50329413817485</v>
      </c>
      <c r="AP188" s="63">
        <f t="shared" si="51"/>
        <v>237.97371600437941</v>
      </c>
      <c r="AQ188" s="2">
        <f t="shared" si="38"/>
        <v>271.19226778609629</v>
      </c>
      <c r="AU188" s="20"/>
      <c r="AV188" s="20"/>
    </row>
    <row r="189" spans="1:48">
      <c r="A189" s="71">
        <v>178</v>
      </c>
      <c r="B189" s="77">
        <f t="shared" si="39"/>
        <v>119442.24427109513</v>
      </c>
      <c r="C189" s="73">
        <f>B189/Dashboard!$I$25</f>
        <v>0.47776897708438054</v>
      </c>
      <c r="D189" s="74">
        <f t="shared" si="40"/>
        <v>0</v>
      </c>
      <c r="E189" s="73">
        <f>IF($D$2="JA",Dashboard!$K$26-$D$11+D189,Dashboard!$K$26)</f>
        <v>2.3800000000000002E-2</v>
      </c>
      <c r="F189" s="72">
        <f t="shared" si="41"/>
        <v>236.89378447100535</v>
      </c>
      <c r="G189" s="72">
        <f t="shared" si="52"/>
        <v>545.5832256715488</v>
      </c>
      <c r="H189" s="72">
        <f>IFERROR(-PMT(E189^1/12,Dashboard!$I$30-A189,B189),0)</f>
        <v>782.47701014255415</v>
      </c>
      <c r="I189" s="75">
        <f t="shared" si="42"/>
        <v>782.47701014255415</v>
      </c>
      <c r="J189" s="76">
        <f t="shared" si="53"/>
        <v>120891.48006077424</v>
      </c>
      <c r="K189" s="76">
        <f>J189*Dashboard!$K$26/12</f>
        <v>269.99097213572912</v>
      </c>
      <c r="L189" s="76">
        <f t="shared" si="43"/>
        <v>539.09487044162597</v>
      </c>
      <c r="M189" s="76">
        <f>IF(H189=0,0,IFERROR(-PMT(Dashboard!$K$26^1/12,Dashboard!$I$30,Dashboard!$I$26),0))</f>
        <v>809.08584257735515</v>
      </c>
      <c r="P189" s="59">
        <v>178</v>
      </c>
      <c r="Q189" s="28">
        <f t="shared" si="44"/>
        <v>0</v>
      </c>
      <c r="R189" s="20">
        <f>Q189/Dashboard!$I$25</f>
        <v>0</v>
      </c>
      <c r="S189" s="20">
        <f t="shared" si="45"/>
        <v>0</v>
      </c>
      <c r="T189" s="20">
        <f>IF($D$2="JA",Dashboard!$K$27-$S$11+S189,Dashboard!$K$27)</f>
        <v>2.6800000000000001E-2</v>
      </c>
      <c r="U189" s="27">
        <f t="shared" si="46"/>
        <v>0</v>
      </c>
      <c r="V189" s="26">
        <f>IF(Q189&lt;=1,0,Dashboard!$I$27/Dashboard!$I$30)</f>
        <v>0</v>
      </c>
      <c r="W189" s="28">
        <f>Q189*Dashboard!$K$27/12</f>
        <v>0</v>
      </c>
      <c r="Y189" s="59">
        <v>178</v>
      </c>
      <c r="Z189" s="67">
        <f>Dashboard!$I$28</f>
        <v>0</v>
      </c>
      <c r="AA189" s="64">
        <f>IF(Z189&lt;=1,0,Dashboard!$I$30-Y189)</f>
        <v>0</v>
      </c>
      <c r="AB189" s="64">
        <f t="shared" si="47"/>
        <v>0</v>
      </c>
      <c r="AC189" s="1">
        <f>Dashboard!$K$28</f>
        <v>2.6800000000000001E-2</v>
      </c>
      <c r="AD189" s="28">
        <f t="shared" si="48"/>
        <v>0</v>
      </c>
      <c r="AF189" s="2">
        <f t="shared" si="49"/>
        <v>119442.24427109513</v>
      </c>
      <c r="AG189" s="62">
        <f>(B189+Q189+Z189)/Dashboard!$I$25</f>
        <v>0.47776897708438054</v>
      </c>
      <c r="AH189" s="20">
        <f t="shared" si="50"/>
        <v>0</v>
      </c>
      <c r="AI189" s="20">
        <f>IF($D$2="JA",Dashboard!$K$26-$AH$11+AH189,Dashboard!$K$26)</f>
        <v>2.3800000000000002E-2</v>
      </c>
      <c r="AJ189" s="27">
        <f>Tabel2[[#This Row],[Schuldrest]]*AI189/12</f>
        <v>236.89378447100535</v>
      </c>
      <c r="AK189" s="20">
        <f>IF($D$2="JA",Dashboard!$K$27-$AH$11+AH189,Dashboard!$K$27)</f>
        <v>2.3800000000000002E-2</v>
      </c>
      <c r="AL189" s="27">
        <f t="shared" si="36"/>
        <v>0</v>
      </c>
      <c r="AM189" s="20">
        <f>IF($D$2="JA",Dashboard!$K$28-$AH$11+AH189,Dashboard!$K$28)</f>
        <v>2.3800000000000002E-2</v>
      </c>
      <c r="AN189" s="27">
        <f t="shared" si="37"/>
        <v>0</v>
      </c>
      <c r="AO189" s="63">
        <f>Tabel2[[#This Row],[Aflossing]]+V189</f>
        <v>545.5832256715488</v>
      </c>
      <c r="AP189" s="63">
        <f t="shared" si="51"/>
        <v>236.89378447100535</v>
      </c>
      <c r="AQ189" s="2">
        <f t="shared" si="38"/>
        <v>269.99097213572912</v>
      </c>
      <c r="AU189" s="20"/>
      <c r="AV189" s="20"/>
    </row>
    <row r="190" spans="1:48">
      <c r="A190" s="71">
        <v>179</v>
      </c>
      <c r="B190" s="77">
        <f t="shared" si="39"/>
        <v>118896.66104542358</v>
      </c>
      <c r="C190" s="73">
        <f>B190/Dashboard!$I$25</f>
        <v>0.47558664418169433</v>
      </c>
      <c r="D190" s="74">
        <f t="shared" si="40"/>
        <v>0</v>
      </c>
      <c r="E190" s="73">
        <f>IF($D$2="JA",Dashboard!$K$26-$D$11+D190,Dashboard!$K$26)</f>
        <v>2.3800000000000002E-2</v>
      </c>
      <c r="F190" s="72">
        <f t="shared" si="41"/>
        <v>235.81171107342345</v>
      </c>
      <c r="G190" s="72">
        <f t="shared" si="52"/>
        <v>546.6652990691307</v>
      </c>
      <c r="H190" s="72">
        <f>IFERROR(-PMT(E190^1/12,Dashboard!$I$30-A190,B190),0)</f>
        <v>782.47701014255415</v>
      </c>
      <c r="I190" s="75">
        <f t="shared" si="42"/>
        <v>782.47701014255415</v>
      </c>
      <c r="J190" s="76">
        <f t="shared" si="53"/>
        <v>120352.38519033261</v>
      </c>
      <c r="K190" s="76">
        <f>J190*Dashboard!$K$26/12</f>
        <v>268.78699359174283</v>
      </c>
      <c r="L190" s="76">
        <f t="shared" si="43"/>
        <v>540.29884898561227</v>
      </c>
      <c r="M190" s="76">
        <f>IF(H190=0,0,IFERROR(-PMT(Dashboard!$K$26^1/12,Dashboard!$I$30,Dashboard!$I$26),0))</f>
        <v>809.08584257735515</v>
      </c>
      <c r="P190" s="59">
        <v>179</v>
      </c>
      <c r="Q190" s="28">
        <f t="shared" si="44"/>
        <v>0</v>
      </c>
      <c r="R190" s="20">
        <f>Q190/Dashboard!$I$25</f>
        <v>0</v>
      </c>
      <c r="S190" s="20">
        <f t="shared" si="45"/>
        <v>0</v>
      </c>
      <c r="T190" s="20">
        <f>IF($D$2="JA",Dashboard!$K$27-$S$11+S190,Dashboard!$K$27)</f>
        <v>2.6800000000000001E-2</v>
      </c>
      <c r="U190" s="27">
        <f t="shared" si="46"/>
        <v>0</v>
      </c>
      <c r="V190" s="26">
        <f>IF(Q190&lt;=1,0,Dashboard!$I$27/Dashboard!$I$30)</f>
        <v>0</v>
      </c>
      <c r="W190" s="28">
        <f>Q190*Dashboard!$K$27/12</f>
        <v>0</v>
      </c>
      <c r="Y190" s="59">
        <v>179</v>
      </c>
      <c r="Z190" s="67">
        <f>Dashboard!$I$28</f>
        <v>0</v>
      </c>
      <c r="AA190" s="64">
        <f>IF(Z190&lt;=1,0,Dashboard!$I$30-Y190)</f>
        <v>0</v>
      </c>
      <c r="AB190" s="64">
        <f t="shared" si="47"/>
        <v>0</v>
      </c>
      <c r="AC190" s="1">
        <f>Dashboard!$K$28</f>
        <v>2.6800000000000001E-2</v>
      </c>
      <c r="AD190" s="28">
        <f t="shared" si="48"/>
        <v>0</v>
      </c>
      <c r="AF190" s="2">
        <f t="shared" si="49"/>
        <v>118896.66104542358</v>
      </c>
      <c r="AG190" s="62">
        <f>(B190+Q190+Z190)/Dashboard!$I$25</f>
        <v>0.47558664418169433</v>
      </c>
      <c r="AH190" s="20">
        <f t="shared" si="50"/>
        <v>0</v>
      </c>
      <c r="AI190" s="20">
        <f>IF($D$2="JA",Dashboard!$K$26-$AH$11+AH190,Dashboard!$K$26)</f>
        <v>2.3800000000000002E-2</v>
      </c>
      <c r="AJ190" s="27">
        <f>Tabel2[[#This Row],[Schuldrest]]*AI190/12</f>
        <v>235.81171107342345</v>
      </c>
      <c r="AK190" s="20">
        <f>IF($D$2="JA",Dashboard!$K$27-$AH$11+AH190,Dashboard!$K$27)</f>
        <v>2.3800000000000002E-2</v>
      </c>
      <c r="AL190" s="27">
        <f t="shared" si="36"/>
        <v>0</v>
      </c>
      <c r="AM190" s="20">
        <f>IF($D$2="JA",Dashboard!$K$28-$AH$11+AH190,Dashboard!$K$28)</f>
        <v>2.3800000000000002E-2</v>
      </c>
      <c r="AN190" s="27">
        <f t="shared" si="37"/>
        <v>0</v>
      </c>
      <c r="AO190" s="63">
        <f>Tabel2[[#This Row],[Aflossing]]+V190</f>
        <v>546.6652990691307</v>
      </c>
      <c r="AP190" s="63">
        <f t="shared" si="51"/>
        <v>235.81171107342345</v>
      </c>
      <c r="AQ190" s="2">
        <f t="shared" si="38"/>
        <v>268.78699359174283</v>
      </c>
      <c r="AU190" s="20"/>
      <c r="AV190" s="20"/>
    </row>
    <row r="191" spans="1:48">
      <c r="A191" s="71">
        <v>180</v>
      </c>
      <c r="B191" s="77">
        <f t="shared" si="39"/>
        <v>118349.99574635444</v>
      </c>
      <c r="C191" s="73">
        <f>B191/Dashboard!$I$25</f>
        <v>0.47339998298541774</v>
      </c>
      <c r="D191" s="74">
        <f t="shared" si="40"/>
        <v>0</v>
      </c>
      <c r="E191" s="73">
        <f>IF($D$2="JA",Dashboard!$K$26-$D$11+D191,Dashboard!$K$26)</f>
        <v>2.3800000000000002E-2</v>
      </c>
      <c r="F191" s="72">
        <f t="shared" si="41"/>
        <v>234.72749156360297</v>
      </c>
      <c r="G191" s="72">
        <f t="shared" si="52"/>
        <v>547.74951857895121</v>
      </c>
      <c r="H191" s="72">
        <f>IFERROR(-PMT(E191^1/12,Dashboard!$I$30-A191,B191),0)</f>
        <v>782.47701014255415</v>
      </c>
      <c r="I191" s="75">
        <f t="shared" si="42"/>
        <v>782.47701014255415</v>
      </c>
      <c r="J191" s="76">
        <f t="shared" si="53"/>
        <v>119812.08634134701</v>
      </c>
      <c r="K191" s="76">
        <f>J191*Dashboard!$K$26/12</f>
        <v>267.58032616234169</v>
      </c>
      <c r="L191" s="76">
        <f t="shared" si="43"/>
        <v>541.50551641501352</v>
      </c>
      <c r="M191" s="76">
        <f>IF(H191=0,0,IFERROR(-PMT(Dashboard!$K$26^1/12,Dashboard!$I$30,Dashboard!$I$26),0))</f>
        <v>809.08584257735515</v>
      </c>
      <c r="P191" s="59">
        <v>180</v>
      </c>
      <c r="Q191" s="28">
        <f t="shared" si="44"/>
        <v>0</v>
      </c>
      <c r="R191" s="20">
        <f>Q191/Dashboard!$I$25</f>
        <v>0</v>
      </c>
      <c r="S191" s="20">
        <f t="shared" si="45"/>
        <v>0</v>
      </c>
      <c r="T191" s="20">
        <f>IF($D$2="JA",Dashboard!$K$27-$S$11+S191,Dashboard!$K$27)</f>
        <v>2.6800000000000001E-2</v>
      </c>
      <c r="U191" s="27">
        <f t="shared" si="46"/>
        <v>0</v>
      </c>
      <c r="V191" s="26">
        <f>IF(Q191&lt;=1,0,Dashboard!$I$27/Dashboard!$I$30)</f>
        <v>0</v>
      </c>
      <c r="W191" s="28">
        <f>Q191*Dashboard!$K$27/12</f>
        <v>0</v>
      </c>
      <c r="Y191" s="59">
        <v>180</v>
      </c>
      <c r="Z191" s="67">
        <f>Dashboard!$I$28</f>
        <v>0</v>
      </c>
      <c r="AA191" s="64">
        <f>IF(Z191&lt;=1,0,Dashboard!$I$30-Y191)</f>
        <v>0</v>
      </c>
      <c r="AB191" s="64">
        <f t="shared" si="47"/>
        <v>0</v>
      </c>
      <c r="AC191" s="1">
        <f>Dashboard!$K$28</f>
        <v>2.6800000000000001E-2</v>
      </c>
      <c r="AD191" s="28">
        <f t="shared" si="48"/>
        <v>0</v>
      </c>
      <c r="AF191" s="2">
        <f t="shared" si="49"/>
        <v>118349.99574635444</v>
      </c>
      <c r="AG191" s="62">
        <f>(B191+Q191+Z191)/Dashboard!$I$25</f>
        <v>0.47339998298541774</v>
      </c>
      <c r="AH191" s="20">
        <f t="shared" si="50"/>
        <v>0</v>
      </c>
      <c r="AI191" s="20">
        <f>IF($D$2="JA",Dashboard!$K$26-$AH$11+AH191,Dashboard!$K$26)</f>
        <v>2.3800000000000002E-2</v>
      </c>
      <c r="AJ191" s="27">
        <f>Tabel2[[#This Row],[Schuldrest]]*AI191/12</f>
        <v>234.72749156360297</v>
      </c>
      <c r="AK191" s="20">
        <f>IF($D$2="JA",Dashboard!$K$27-$AH$11+AH191,Dashboard!$K$27)</f>
        <v>2.3800000000000002E-2</v>
      </c>
      <c r="AL191" s="27">
        <f t="shared" si="36"/>
        <v>0</v>
      </c>
      <c r="AM191" s="20">
        <f>IF($D$2="JA",Dashboard!$K$28-$AH$11+AH191,Dashboard!$K$28)</f>
        <v>2.3800000000000002E-2</v>
      </c>
      <c r="AN191" s="27">
        <f t="shared" si="37"/>
        <v>0</v>
      </c>
      <c r="AO191" s="63">
        <f>Tabel2[[#This Row],[Aflossing]]+V191</f>
        <v>547.74951857895121</v>
      </c>
      <c r="AP191" s="63">
        <f t="shared" si="51"/>
        <v>234.72749156360297</v>
      </c>
      <c r="AQ191" s="2">
        <f t="shared" si="38"/>
        <v>267.58032616234169</v>
      </c>
      <c r="AU191" s="20"/>
      <c r="AV191" s="20"/>
    </row>
    <row r="192" spans="1:48">
      <c r="A192" s="71">
        <v>181</v>
      </c>
      <c r="B192" s="77">
        <f t="shared" si="39"/>
        <v>117802.2462277755</v>
      </c>
      <c r="C192" s="73">
        <f>B192/Dashboard!$I$25</f>
        <v>0.47120898491110197</v>
      </c>
      <c r="D192" s="74">
        <f t="shared" si="40"/>
        <v>0</v>
      </c>
      <c r="E192" s="73">
        <f>IF($D$2="JA",Dashboard!$K$26-$D$11+D192,Dashboard!$K$26)</f>
        <v>2.3800000000000002E-2</v>
      </c>
      <c r="F192" s="72">
        <f t="shared" si="41"/>
        <v>233.64112168508811</v>
      </c>
      <c r="G192" s="72">
        <f t="shared" si="52"/>
        <v>548.83588845746601</v>
      </c>
      <c r="H192" s="72">
        <f>IFERROR(-PMT(E192^1/12,Dashboard!$I$30-A192,B192),0)</f>
        <v>782.47701014255415</v>
      </c>
      <c r="I192" s="75">
        <f t="shared" si="42"/>
        <v>782.47701014255415</v>
      </c>
      <c r="J192" s="76">
        <f t="shared" si="53"/>
        <v>119270.580824932</v>
      </c>
      <c r="K192" s="76">
        <f>J192*Dashboard!$K$26/12</f>
        <v>266.37096384234815</v>
      </c>
      <c r="L192" s="76">
        <f t="shared" si="43"/>
        <v>542.71487873500701</v>
      </c>
      <c r="M192" s="76">
        <f>IF(H192=0,0,IFERROR(-PMT(Dashboard!$K$26^1/12,Dashboard!$I$30,Dashboard!$I$26),0))</f>
        <v>809.08584257735515</v>
      </c>
      <c r="P192" s="59">
        <v>181</v>
      </c>
      <c r="Q192" s="28">
        <f t="shared" si="44"/>
        <v>0</v>
      </c>
      <c r="R192" s="20">
        <f>Q192/Dashboard!$I$25</f>
        <v>0</v>
      </c>
      <c r="S192" s="20">
        <f t="shared" si="45"/>
        <v>0</v>
      </c>
      <c r="T192" s="20">
        <f>IF($D$2="JA",Dashboard!$K$27-$S$11+S192,Dashboard!$K$27)</f>
        <v>2.6800000000000001E-2</v>
      </c>
      <c r="U192" s="27">
        <f t="shared" si="46"/>
        <v>0</v>
      </c>
      <c r="V192" s="26">
        <f>IF(Q192&lt;=1,0,Dashboard!$I$27/Dashboard!$I$30)</f>
        <v>0</v>
      </c>
      <c r="W192" s="28">
        <f>Q192*Dashboard!$K$27/12</f>
        <v>0</v>
      </c>
      <c r="Y192" s="59">
        <v>181</v>
      </c>
      <c r="Z192" s="67">
        <f>Dashboard!$I$28</f>
        <v>0</v>
      </c>
      <c r="AA192" s="64">
        <f>IF(Z192&lt;=1,0,Dashboard!$I$30-Y192)</f>
        <v>0</v>
      </c>
      <c r="AB192" s="64">
        <f t="shared" si="47"/>
        <v>0</v>
      </c>
      <c r="AC192" s="1">
        <f>Dashboard!$K$28</f>
        <v>2.6800000000000001E-2</v>
      </c>
      <c r="AD192" s="28">
        <f t="shared" si="48"/>
        <v>0</v>
      </c>
      <c r="AF192" s="2">
        <f t="shared" si="49"/>
        <v>117802.2462277755</v>
      </c>
      <c r="AG192" s="62">
        <f>(B192+Q192+Z192)/Dashboard!$I$25</f>
        <v>0.47120898491110197</v>
      </c>
      <c r="AH192" s="20">
        <f t="shared" si="50"/>
        <v>0</v>
      </c>
      <c r="AI192" s="20">
        <f>IF($D$2="JA",Dashboard!$K$26-$AH$11+AH192,Dashboard!$K$26)</f>
        <v>2.3800000000000002E-2</v>
      </c>
      <c r="AJ192" s="27">
        <f>Tabel2[[#This Row],[Schuldrest]]*AI192/12</f>
        <v>233.64112168508811</v>
      </c>
      <c r="AK192" s="20">
        <f>IF($D$2="JA",Dashboard!$K$27-$AH$11+AH192,Dashboard!$K$27)</f>
        <v>2.3800000000000002E-2</v>
      </c>
      <c r="AL192" s="27">
        <f t="shared" si="36"/>
        <v>0</v>
      </c>
      <c r="AM192" s="20">
        <f>IF($D$2="JA",Dashboard!$K$28-$AH$11+AH192,Dashboard!$K$28)</f>
        <v>2.3800000000000002E-2</v>
      </c>
      <c r="AN192" s="27">
        <f t="shared" si="37"/>
        <v>0</v>
      </c>
      <c r="AO192" s="63">
        <f>Tabel2[[#This Row],[Aflossing]]+V192</f>
        <v>548.83588845746601</v>
      </c>
      <c r="AP192" s="63">
        <f t="shared" si="51"/>
        <v>233.64112168508811</v>
      </c>
      <c r="AQ192" s="2">
        <f t="shared" si="38"/>
        <v>266.37096384234815</v>
      </c>
      <c r="AU192" s="20"/>
      <c r="AV192" s="20"/>
    </row>
    <row r="193" spans="1:48">
      <c r="A193" s="71">
        <v>182</v>
      </c>
      <c r="B193" s="77">
        <f t="shared" si="39"/>
        <v>117253.41033931803</v>
      </c>
      <c r="C193" s="73">
        <f>B193/Dashboard!$I$25</f>
        <v>0.46901364135727208</v>
      </c>
      <c r="D193" s="74">
        <f t="shared" si="40"/>
        <v>0</v>
      </c>
      <c r="E193" s="73">
        <f>IF($D$2="JA",Dashboard!$K$26-$D$11+D193,Dashboard!$K$26)</f>
        <v>2.3800000000000002E-2</v>
      </c>
      <c r="F193" s="72">
        <f t="shared" si="41"/>
        <v>232.55259717298077</v>
      </c>
      <c r="G193" s="72">
        <f t="shared" si="52"/>
        <v>549.92441296957327</v>
      </c>
      <c r="H193" s="72">
        <f>IFERROR(-PMT(E193^1/12,Dashboard!$I$30-A193,B193),0)</f>
        <v>782.47701014255404</v>
      </c>
      <c r="I193" s="75">
        <f t="shared" si="42"/>
        <v>782.47701014255404</v>
      </c>
      <c r="J193" s="76">
        <f t="shared" si="53"/>
        <v>118727.86594619699</v>
      </c>
      <c r="K193" s="76">
        <f>J193*Dashboard!$K$26/12</f>
        <v>265.15890061317333</v>
      </c>
      <c r="L193" s="76">
        <f t="shared" si="43"/>
        <v>543.92694196418188</v>
      </c>
      <c r="M193" s="76">
        <f>IF(H193=0,0,IFERROR(-PMT(Dashboard!$K$26^1/12,Dashboard!$I$30,Dashboard!$I$26),0))</f>
        <v>809.08584257735515</v>
      </c>
      <c r="P193" s="59">
        <v>182</v>
      </c>
      <c r="Q193" s="28">
        <f t="shared" si="44"/>
        <v>0</v>
      </c>
      <c r="R193" s="20">
        <f>Q193/Dashboard!$I$25</f>
        <v>0</v>
      </c>
      <c r="S193" s="20">
        <f t="shared" si="45"/>
        <v>0</v>
      </c>
      <c r="T193" s="20">
        <f>IF($D$2="JA",Dashboard!$K$27-$S$11+S193,Dashboard!$K$27)</f>
        <v>2.6800000000000001E-2</v>
      </c>
      <c r="U193" s="27">
        <f t="shared" si="46"/>
        <v>0</v>
      </c>
      <c r="V193" s="26">
        <f>IF(Q193&lt;=1,0,Dashboard!$I$27/Dashboard!$I$30)</f>
        <v>0</v>
      </c>
      <c r="W193" s="28">
        <f>Q193*Dashboard!$K$27/12</f>
        <v>0</v>
      </c>
      <c r="Y193" s="59">
        <v>182</v>
      </c>
      <c r="Z193" s="67">
        <f>Dashboard!$I$28</f>
        <v>0</v>
      </c>
      <c r="AA193" s="64">
        <f>IF(Z193&lt;=1,0,Dashboard!$I$30-Y193)</f>
        <v>0</v>
      </c>
      <c r="AB193" s="64">
        <f t="shared" si="47"/>
        <v>0</v>
      </c>
      <c r="AC193" s="1">
        <f>Dashboard!$K$28</f>
        <v>2.6800000000000001E-2</v>
      </c>
      <c r="AD193" s="28">
        <f t="shared" si="48"/>
        <v>0</v>
      </c>
      <c r="AF193" s="2">
        <f t="shared" si="49"/>
        <v>117253.41033931803</v>
      </c>
      <c r="AG193" s="62">
        <f>(B193+Q193+Z193)/Dashboard!$I$25</f>
        <v>0.46901364135727208</v>
      </c>
      <c r="AH193" s="20">
        <f t="shared" si="50"/>
        <v>0</v>
      </c>
      <c r="AI193" s="20">
        <f>IF($D$2="JA",Dashboard!$K$26-$AH$11+AH193,Dashboard!$K$26)</f>
        <v>2.3800000000000002E-2</v>
      </c>
      <c r="AJ193" s="27">
        <f>Tabel2[[#This Row],[Schuldrest]]*AI193/12</f>
        <v>232.55259717298077</v>
      </c>
      <c r="AK193" s="20">
        <f>IF($D$2="JA",Dashboard!$K$27-$AH$11+AH193,Dashboard!$K$27)</f>
        <v>2.3800000000000002E-2</v>
      </c>
      <c r="AL193" s="27">
        <f t="shared" si="36"/>
        <v>0</v>
      </c>
      <c r="AM193" s="20">
        <f>IF($D$2="JA",Dashboard!$K$28-$AH$11+AH193,Dashboard!$K$28)</f>
        <v>2.3800000000000002E-2</v>
      </c>
      <c r="AN193" s="27">
        <f t="shared" si="37"/>
        <v>0</v>
      </c>
      <c r="AO193" s="63">
        <f>Tabel2[[#This Row],[Aflossing]]+V193</f>
        <v>549.92441296957327</v>
      </c>
      <c r="AP193" s="63">
        <f t="shared" si="51"/>
        <v>232.55259717298077</v>
      </c>
      <c r="AQ193" s="2">
        <f t="shared" si="38"/>
        <v>265.15890061317333</v>
      </c>
      <c r="AU193" s="20"/>
      <c r="AV193" s="20"/>
    </row>
    <row r="194" spans="1:48">
      <c r="A194" s="71">
        <v>183</v>
      </c>
      <c r="B194" s="77">
        <f t="shared" si="39"/>
        <v>116703.48592634845</v>
      </c>
      <c r="C194" s="73">
        <f>B194/Dashboard!$I$25</f>
        <v>0.46681394370539381</v>
      </c>
      <c r="D194" s="74">
        <f t="shared" si="40"/>
        <v>0</v>
      </c>
      <c r="E194" s="73">
        <f>IF($D$2="JA",Dashboard!$K$26-$D$11+D194,Dashboard!$K$26)</f>
        <v>2.3800000000000002E-2</v>
      </c>
      <c r="F194" s="72">
        <f t="shared" si="41"/>
        <v>231.46191375392445</v>
      </c>
      <c r="G194" s="72">
        <f t="shared" si="52"/>
        <v>551.01509638862956</v>
      </c>
      <c r="H194" s="72">
        <f>IFERROR(-PMT(E194^1/12,Dashboard!$I$30-A194,B194),0)</f>
        <v>782.47701014255404</v>
      </c>
      <c r="I194" s="75">
        <f t="shared" si="42"/>
        <v>782.47701014255404</v>
      </c>
      <c r="J194" s="76">
        <f t="shared" si="53"/>
        <v>118183.93900423282</v>
      </c>
      <c r="K194" s="76">
        <f>J194*Dashboard!$K$26/12</f>
        <v>263.94413044278662</v>
      </c>
      <c r="L194" s="76">
        <f t="shared" si="43"/>
        <v>545.14171213456848</v>
      </c>
      <c r="M194" s="76">
        <f>IF(H194=0,0,IFERROR(-PMT(Dashboard!$K$26^1/12,Dashboard!$I$30,Dashboard!$I$26),0))</f>
        <v>809.08584257735515</v>
      </c>
      <c r="P194" s="59">
        <v>183</v>
      </c>
      <c r="Q194" s="28">
        <f t="shared" si="44"/>
        <v>0</v>
      </c>
      <c r="R194" s="20">
        <f>Q194/Dashboard!$I$25</f>
        <v>0</v>
      </c>
      <c r="S194" s="20">
        <f t="shared" si="45"/>
        <v>0</v>
      </c>
      <c r="T194" s="20">
        <f>IF($D$2="JA",Dashboard!$K$27-$S$11+S194,Dashboard!$K$27)</f>
        <v>2.6800000000000001E-2</v>
      </c>
      <c r="U194" s="27">
        <f t="shared" si="46"/>
        <v>0</v>
      </c>
      <c r="V194" s="26">
        <f>IF(Q194&lt;=1,0,Dashboard!$I$27/Dashboard!$I$30)</f>
        <v>0</v>
      </c>
      <c r="W194" s="28">
        <f>Q194*Dashboard!$K$27/12</f>
        <v>0</v>
      </c>
      <c r="Y194" s="59">
        <v>183</v>
      </c>
      <c r="Z194" s="67">
        <f>Dashboard!$I$28</f>
        <v>0</v>
      </c>
      <c r="AA194" s="64">
        <f>IF(Z194&lt;=1,0,Dashboard!$I$30-Y194)</f>
        <v>0</v>
      </c>
      <c r="AB194" s="64">
        <f t="shared" si="47"/>
        <v>0</v>
      </c>
      <c r="AC194" s="1">
        <f>Dashboard!$K$28</f>
        <v>2.6800000000000001E-2</v>
      </c>
      <c r="AD194" s="28">
        <f t="shared" si="48"/>
        <v>0</v>
      </c>
      <c r="AF194" s="2">
        <f t="shared" si="49"/>
        <v>116703.48592634845</v>
      </c>
      <c r="AG194" s="62">
        <f>(B194+Q194+Z194)/Dashboard!$I$25</f>
        <v>0.46681394370539381</v>
      </c>
      <c r="AH194" s="20">
        <f t="shared" si="50"/>
        <v>0</v>
      </c>
      <c r="AI194" s="20">
        <f>IF($D$2="JA",Dashboard!$K$26-$AH$11+AH194,Dashboard!$K$26)</f>
        <v>2.3800000000000002E-2</v>
      </c>
      <c r="AJ194" s="27">
        <f>Tabel2[[#This Row],[Schuldrest]]*AI194/12</f>
        <v>231.46191375392445</v>
      </c>
      <c r="AK194" s="20">
        <f>IF($D$2="JA",Dashboard!$K$27-$AH$11+AH194,Dashboard!$K$27)</f>
        <v>2.3800000000000002E-2</v>
      </c>
      <c r="AL194" s="27">
        <f t="shared" si="36"/>
        <v>0</v>
      </c>
      <c r="AM194" s="20">
        <f>IF($D$2="JA",Dashboard!$K$28-$AH$11+AH194,Dashboard!$K$28)</f>
        <v>2.3800000000000002E-2</v>
      </c>
      <c r="AN194" s="27">
        <f t="shared" si="37"/>
        <v>0</v>
      </c>
      <c r="AO194" s="63">
        <f>Tabel2[[#This Row],[Aflossing]]+V194</f>
        <v>551.01509638862956</v>
      </c>
      <c r="AP194" s="63">
        <f t="shared" si="51"/>
        <v>231.46191375392445</v>
      </c>
      <c r="AQ194" s="2">
        <f t="shared" si="38"/>
        <v>263.94413044278662</v>
      </c>
      <c r="AU194" s="20"/>
      <c r="AV194" s="20"/>
    </row>
    <row r="195" spans="1:48">
      <c r="A195" s="71">
        <v>184</v>
      </c>
      <c r="B195" s="77">
        <f t="shared" si="39"/>
        <v>116152.47082995983</v>
      </c>
      <c r="C195" s="73">
        <f>B195/Dashboard!$I$25</f>
        <v>0.46460988331983932</v>
      </c>
      <c r="D195" s="74">
        <f t="shared" si="40"/>
        <v>0</v>
      </c>
      <c r="E195" s="73">
        <f>IF($D$2="JA",Dashboard!$K$26-$D$11+D195,Dashboard!$K$26)</f>
        <v>2.3800000000000002E-2</v>
      </c>
      <c r="F195" s="72">
        <f t="shared" si="41"/>
        <v>230.36906714608699</v>
      </c>
      <c r="G195" s="72">
        <f t="shared" si="52"/>
        <v>552.10794299646716</v>
      </c>
      <c r="H195" s="72">
        <f>IFERROR(-PMT(E195^1/12,Dashboard!$I$30-A195,B195),0)</f>
        <v>782.47701014255415</v>
      </c>
      <c r="I195" s="75">
        <f t="shared" si="42"/>
        <v>782.47701014255415</v>
      </c>
      <c r="J195" s="76">
        <f t="shared" si="53"/>
        <v>117638.79729209824</v>
      </c>
      <c r="K195" s="76">
        <f>J195*Dashboard!$K$26/12</f>
        <v>262.72664728568606</v>
      </c>
      <c r="L195" s="76">
        <f t="shared" si="43"/>
        <v>546.35919529166904</v>
      </c>
      <c r="M195" s="76">
        <f>IF(H195=0,0,IFERROR(-PMT(Dashboard!$K$26^1/12,Dashboard!$I$30,Dashboard!$I$26),0))</f>
        <v>809.08584257735515</v>
      </c>
      <c r="P195" s="59">
        <v>184</v>
      </c>
      <c r="Q195" s="28">
        <f t="shared" si="44"/>
        <v>0</v>
      </c>
      <c r="R195" s="20">
        <f>Q195/Dashboard!$I$25</f>
        <v>0</v>
      </c>
      <c r="S195" s="20">
        <f t="shared" si="45"/>
        <v>0</v>
      </c>
      <c r="T195" s="20">
        <f>IF($D$2="JA",Dashboard!$K$27-$S$11+S195,Dashboard!$K$27)</f>
        <v>2.6800000000000001E-2</v>
      </c>
      <c r="U195" s="27">
        <f t="shared" si="46"/>
        <v>0</v>
      </c>
      <c r="V195" s="26">
        <f>IF(Q195&lt;=1,0,Dashboard!$I$27/Dashboard!$I$30)</f>
        <v>0</v>
      </c>
      <c r="W195" s="28">
        <f>Q195*Dashboard!$K$27/12</f>
        <v>0</v>
      </c>
      <c r="Y195" s="59">
        <v>184</v>
      </c>
      <c r="Z195" s="67">
        <f>Dashboard!$I$28</f>
        <v>0</v>
      </c>
      <c r="AA195" s="64">
        <f>IF(Z195&lt;=1,0,Dashboard!$I$30-Y195)</f>
        <v>0</v>
      </c>
      <c r="AB195" s="64">
        <f t="shared" si="47"/>
        <v>0</v>
      </c>
      <c r="AC195" s="1">
        <f>Dashboard!$K$28</f>
        <v>2.6800000000000001E-2</v>
      </c>
      <c r="AD195" s="28">
        <f t="shared" si="48"/>
        <v>0</v>
      </c>
      <c r="AF195" s="2">
        <f t="shared" si="49"/>
        <v>116152.47082995983</v>
      </c>
      <c r="AG195" s="62">
        <f>(B195+Q195+Z195)/Dashboard!$I$25</f>
        <v>0.46460988331983932</v>
      </c>
      <c r="AH195" s="20">
        <f t="shared" si="50"/>
        <v>0</v>
      </c>
      <c r="AI195" s="20">
        <f>IF($D$2="JA",Dashboard!$K$26-$AH$11+AH195,Dashboard!$K$26)</f>
        <v>2.3800000000000002E-2</v>
      </c>
      <c r="AJ195" s="27">
        <f>Tabel2[[#This Row],[Schuldrest]]*AI195/12</f>
        <v>230.36906714608699</v>
      </c>
      <c r="AK195" s="20">
        <f>IF($D$2="JA",Dashboard!$K$27-$AH$11+AH195,Dashboard!$K$27)</f>
        <v>2.3800000000000002E-2</v>
      </c>
      <c r="AL195" s="27">
        <f t="shared" si="36"/>
        <v>0</v>
      </c>
      <c r="AM195" s="20">
        <f>IF($D$2="JA",Dashboard!$K$28-$AH$11+AH195,Dashboard!$K$28)</f>
        <v>2.3800000000000002E-2</v>
      </c>
      <c r="AN195" s="27">
        <f t="shared" si="37"/>
        <v>0</v>
      </c>
      <c r="AO195" s="63">
        <f>Tabel2[[#This Row],[Aflossing]]+V195</f>
        <v>552.10794299646716</v>
      </c>
      <c r="AP195" s="63">
        <f t="shared" si="51"/>
        <v>230.36906714608699</v>
      </c>
      <c r="AQ195" s="2">
        <f t="shared" si="38"/>
        <v>262.72664728568606</v>
      </c>
      <c r="AU195" s="20"/>
      <c r="AV195" s="20"/>
    </row>
    <row r="196" spans="1:48">
      <c r="A196" s="71">
        <v>185</v>
      </c>
      <c r="B196" s="77">
        <f t="shared" si="39"/>
        <v>115600.36288696335</v>
      </c>
      <c r="C196" s="73">
        <f>B196/Dashboard!$I$25</f>
        <v>0.46240145154785339</v>
      </c>
      <c r="D196" s="74">
        <f t="shared" si="40"/>
        <v>0</v>
      </c>
      <c r="E196" s="73">
        <f>IF($D$2="JA",Dashboard!$K$26-$D$11+D196,Dashboard!$K$26)</f>
        <v>2.3800000000000002E-2</v>
      </c>
      <c r="F196" s="72">
        <f t="shared" si="41"/>
        <v>229.27405305914399</v>
      </c>
      <c r="G196" s="72">
        <f t="shared" si="52"/>
        <v>553.20295708341018</v>
      </c>
      <c r="H196" s="72">
        <f>IFERROR(-PMT(E196^1/12,Dashboard!$I$30-A196,B196),0)</f>
        <v>782.47701014255415</v>
      </c>
      <c r="I196" s="75">
        <f t="shared" si="42"/>
        <v>782.47701014255415</v>
      </c>
      <c r="J196" s="76">
        <f t="shared" si="53"/>
        <v>117092.43809680657</v>
      </c>
      <c r="K196" s="76">
        <f>J196*Dashboard!$K$26/12</f>
        <v>261.50644508286803</v>
      </c>
      <c r="L196" s="76">
        <f t="shared" si="43"/>
        <v>547.57939749448713</v>
      </c>
      <c r="M196" s="76">
        <f>IF(H196=0,0,IFERROR(-PMT(Dashboard!$K$26^1/12,Dashboard!$I$30,Dashboard!$I$26),0))</f>
        <v>809.08584257735515</v>
      </c>
      <c r="P196" s="59">
        <v>185</v>
      </c>
      <c r="Q196" s="28">
        <f t="shared" si="44"/>
        <v>0</v>
      </c>
      <c r="R196" s="20">
        <f>Q196/Dashboard!$I$25</f>
        <v>0</v>
      </c>
      <c r="S196" s="20">
        <f t="shared" si="45"/>
        <v>0</v>
      </c>
      <c r="T196" s="20">
        <f>IF($D$2="JA",Dashboard!$K$27-$S$11+S196,Dashboard!$K$27)</f>
        <v>2.6800000000000001E-2</v>
      </c>
      <c r="U196" s="27">
        <f t="shared" si="46"/>
        <v>0</v>
      </c>
      <c r="V196" s="26">
        <f>IF(Q196&lt;=1,0,Dashboard!$I$27/Dashboard!$I$30)</f>
        <v>0</v>
      </c>
      <c r="W196" s="28">
        <f>Q196*Dashboard!$K$27/12</f>
        <v>0</v>
      </c>
      <c r="Y196" s="59">
        <v>185</v>
      </c>
      <c r="Z196" s="67">
        <f>Dashboard!$I$28</f>
        <v>0</v>
      </c>
      <c r="AA196" s="64">
        <f>IF(Z196&lt;=1,0,Dashboard!$I$30-Y196)</f>
        <v>0</v>
      </c>
      <c r="AB196" s="64">
        <f t="shared" si="47"/>
        <v>0</v>
      </c>
      <c r="AC196" s="1">
        <f>Dashboard!$K$28</f>
        <v>2.6800000000000001E-2</v>
      </c>
      <c r="AD196" s="28">
        <f t="shared" si="48"/>
        <v>0</v>
      </c>
      <c r="AF196" s="2">
        <f t="shared" si="49"/>
        <v>115600.36288696335</v>
      </c>
      <c r="AG196" s="62">
        <f>(B196+Q196+Z196)/Dashboard!$I$25</f>
        <v>0.46240145154785339</v>
      </c>
      <c r="AH196" s="20">
        <f t="shared" si="50"/>
        <v>0</v>
      </c>
      <c r="AI196" s="20">
        <f>IF($D$2="JA",Dashboard!$K$26-$AH$11+AH196,Dashboard!$K$26)</f>
        <v>2.3800000000000002E-2</v>
      </c>
      <c r="AJ196" s="27">
        <f>Tabel2[[#This Row],[Schuldrest]]*AI196/12</f>
        <v>229.27405305914399</v>
      </c>
      <c r="AK196" s="20">
        <f>IF($D$2="JA",Dashboard!$K$27-$AH$11+AH196,Dashboard!$K$27)</f>
        <v>2.3800000000000002E-2</v>
      </c>
      <c r="AL196" s="27">
        <f t="shared" si="36"/>
        <v>0</v>
      </c>
      <c r="AM196" s="20">
        <f>IF($D$2="JA",Dashboard!$K$28-$AH$11+AH196,Dashboard!$K$28)</f>
        <v>2.3800000000000002E-2</v>
      </c>
      <c r="AN196" s="27">
        <f t="shared" si="37"/>
        <v>0</v>
      </c>
      <c r="AO196" s="63">
        <f>Tabel2[[#This Row],[Aflossing]]+V196</f>
        <v>553.20295708341018</v>
      </c>
      <c r="AP196" s="63">
        <f t="shared" si="51"/>
        <v>229.27405305914399</v>
      </c>
      <c r="AQ196" s="2">
        <f t="shared" si="38"/>
        <v>261.50644508286803</v>
      </c>
      <c r="AU196" s="20"/>
      <c r="AV196" s="20"/>
    </row>
    <row r="197" spans="1:48">
      <c r="A197" s="71">
        <v>186</v>
      </c>
      <c r="B197" s="77">
        <f t="shared" si="39"/>
        <v>115047.15992987994</v>
      </c>
      <c r="C197" s="73">
        <f>B197/Dashboard!$I$25</f>
        <v>0.46018863971951979</v>
      </c>
      <c r="D197" s="74">
        <f t="shared" si="40"/>
        <v>0</v>
      </c>
      <c r="E197" s="73">
        <f>IF($D$2="JA",Dashboard!$K$26-$D$11+D197,Dashboard!$K$26)</f>
        <v>2.3800000000000002E-2</v>
      </c>
      <c r="F197" s="72">
        <f t="shared" si="41"/>
        <v>228.17686719426192</v>
      </c>
      <c r="G197" s="72">
        <f t="shared" si="52"/>
        <v>554.30014294829209</v>
      </c>
      <c r="H197" s="72">
        <f>IFERROR(-PMT(E197^1/12,Dashboard!$I$30-A197,B197),0)</f>
        <v>782.47701014255404</v>
      </c>
      <c r="I197" s="75">
        <f t="shared" si="42"/>
        <v>782.47701014255404</v>
      </c>
      <c r="J197" s="76">
        <f t="shared" si="53"/>
        <v>116544.85869931208</v>
      </c>
      <c r="K197" s="76">
        <f>J197*Dashboard!$K$26/12</f>
        <v>260.28351776179699</v>
      </c>
      <c r="L197" s="76">
        <f t="shared" si="43"/>
        <v>548.80232481555822</v>
      </c>
      <c r="M197" s="76">
        <f>IF(H197=0,0,IFERROR(-PMT(Dashboard!$K$26^1/12,Dashboard!$I$30,Dashboard!$I$26),0))</f>
        <v>809.08584257735515</v>
      </c>
      <c r="P197" s="59">
        <v>186</v>
      </c>
      <c r="Q197" s="28">
        <f t="shared" si="44"/>
        <v>0</v>
      </c>
      <c r="R197" s="20">
        <f>Q197/Dashboard!$I$25</f>
        <v>0</v>
      </c>
      <c r="S197" s="20">
        <f t="shared" si="45"/>
        <v>0</v>
      </c>
      <c r="T197" s="20">
        <f>IF($D$2="JA",Dashboard!$K$27-$S$11+S197,Dashboard!$K$27)</f>
        <v>2.6800000000000001E-2</v>
      </c>
      <c r="U197" s="27">
        <f t="shared" si="46"/>
        <v>0</v>
      </c>
      <c r="V197" s="26">
        <f>IF(Q197&lt;=1,0,Dashboard!$I$27/Dashboard!$I$30)</f>
        <v>0</v>
      </c>
      <c r="W197" s="28">
        <f>Q197*Dashboard!$K$27/12</f>
        <v>0</v>
      </c>
      <c r="Y197" s="59">
        <v>186</v>
      </c>
      <c r="Z197" s="67">
        <f>Dashboard!$I$28</f>
        <v>0</v>
      </c>
      <c r="AA197" s="64">
        <f>IF(Z197&lt;=1,0,Dashboard!$I$30-Y197)</f>
        <v>0</v>
      </c>
      <c r="AB197" s="64">
        <f t="shared" si="47"/>
        <v>0</v>
      </c>
      <c r="AC197" s="1">
        <f>Dashboard!$K$28</f>
        <v>2.6800000000000001E-2</v>
      </c>
      <c r="AD197" s="28">
        <f t="shared" si="48"/>
        <v>0</v>
      </c>
      <c r="AF197" s="2">
        <f t="shared" si="49"/>
        <v>115047.15992987994</v>
      </c>
      <c r="AG197" s="62">
        <f>(B197+Q197+Z197)/Dashboard!$I$25</f>
        <v>0.46018863971951979</v>
      </c>
      <c r="AH197" s="20">
        <f t="shared" si="50"/>
        <v>0</v>
      </c>
      <c r="AI197" s="20">
        <f>IF($D$2="JA",Dashboard!$K$26-$AH$11+AH197,Dashboard!$K$26)</f>
        <v>2.3800000000000002E-2</v>
      </c>
      <c r="AJ197" s="27">
        <f>Tabel2[[#This Row],[Schuldrest]]*AI197/12</f>
        <v>228.17686719426192</v>
      </c>
      <c r="AK197" s="20">
        <f>IF($D$2="JA",Dashboard!$K$27-$AH$11+AH197,Dashboard!$K$27)</f>
        <v>2.3800000000000002E-2</v>
      </c>
      <c r="AL197" s="27">
        <f t="shared" si="36"/>
        <v>0</v>
      </c>
      <c r="AM197" s="20">
        <f>IF($D$2="JA",Dashboard!$K$28-$AH$11+AH197,Dashboard!$K$28)</f>
        <v>2.3800000000000002E-2</v>
      </c>
      <c r="AN197" s="27">
        <f t="shared" si="37"/>
        <v>0</v>
      </c>
      <c r="AO197" s="63">
        <f>Tabel2[[#This Row],[Aflossing]]+V197</f>
        <v>554.30014294829209</v>
      </c>
      <c r="AP197" s="63">
        <f t="shared" si="51"/>
        <v>228.17686719426192</v>
      </c>
      <c r="AQ197" s="2">
        <f t="shared" si="38"/>
        <v>260.28351776179699</v>
      </c>
      <c r="AU197" s="20"/>
      <c r="AV197" s="20"/>
    </row>
    <row r="198" spans="1:48">
      <c r="A198" s="71">
        <v>187</v>
      </c>
      <c r="B198" s="77">
        <f t="shared" si="39"/>
        <v>114492.85978693164</v>
      </c>
      <c r="C198" s="73">
        <f>B198/Dashboard!$I$25</f>
        <v>0.45797143914772659</v>
      </c>
      <c r="D198" s="74">
        <f t="shared" si="40"/>
        <v>0</v>
      </c>
      <c r="E198" s="73">
        <f>IF($D$2="JA",Dashboard!$K$26-$D$11+D198,Dashboard!$K$26)</f>
        <v>2.3800000000000002E-2</v>
      </c>
      <c r="F198" s="72">
        <f t="shared" si="41"/>
        <v>227.0775052440811</v>
      </c>
      <c r="G198" s="72">
        <f t="shared" si="52"/>
        <v>555.39950489847297</v>
      </c>
      <c r="H198" s="72">
        <f>IFERROR(-PMT(E198^1/12,Dashboard!$I$30-A198,B198),0)</f>
        <v>782.47701014255404</v>
      </c>
      <c r="I198" s="75">
        <f t="shared" si="42"/>
        <v>782.47701014255404</v>
      </c>
      <c r="J198" s="76">
        <f t="shared" si="53"/>
        <v>115996.05637449653</v>
      </c>
      <c r="K198" s="76">
        <f>J198*Dashboard!$K$26/12</f>
        <v>259.05785923637558</v>
      </c>
      <c r="L198" s="76">
        <f t="shared" si="43"/>
        <v>550.02798334097952</v>
      </c>
      <c r="M198" s="76">
        <f>IF(H198=0,0,IFERROR(-PMT(Dashboard!$K$26^1/12,Dashboard!$I$30,Dashboard!$I$26),0))</f>
        <v>809.08584257735515</v>
      </c>
      <c r="P198" s="59">
        <v>187</v>
      </c>
      <c r="Q198" s="28">
        <f t="shared" si="44"/>
        <v>0</v>
      </c>
      <c r="R198" s="20">
        <f>Q198/Dashboard!$I$25</f>
        <v>0</v>
      </c>
      <c r="S198" s="20">
        <f t="shared" si="45"/>
        <v>0</v>
      </c>
      <c r="T198" s="20">
        <f>IF($D$2="JA",Dashboard!$K$27-$S$11+S198,Dashboard!$K$27)</f>
        <v>2.6800000000000001E-2</v>
      </c>
      <c r="U198" s="27">
        <f t="shared" si="46"/>
        <v>0</v>
      </c>
      <c r="V198" s="26">
        <f>IF(Q198&lt;=1,0,Dashboard!$I$27/Dashboard!$I$30)</f>
        <v>0</v>
      </c>
      <c r="W198" s="28">
        <f>Q198*Dashboard!$K$27/12</f>
        <v>0</v>
      </c>
      <c r="Y198" s="59">
        <v>187</v>
      </c>
      <c r="Z198" s="67">
        <f>Dashboard!$I$28</f>
        <v>0</v>
      </c>
      <c r="AA198" s="64">
        <f>IF(Z198&lt;=1,0,Dashboard!$I$30-Y198)</f>
        <v>0</v>
      </c>
      <c r="AB198" s="64">
        <f t="shared" si="47"/>
        <v>0</v>
      </c>
      <c r="AC198" s="1">
        <f>Dashboard!$K$28</f>
        <v>2.6800000000000001E-2</v>
      </c>
      <c r="AD198" s="28">
        <f t="shared" si="48"/>
        <v>0</v>
      </c>
      <c r="AF198" s="2">
        <f t="shared" si="49"/>
        <v>114492.85978693164</v>
      </c>
      <c r="AG198" s="62">
        <f>(B198+Q198+Z198)/Dashboard!$I$25</f>
        <v>0.45797143914772659</v>
      </c>
      <c r="AH198" s="20">
        <f t="shared" si="50"/>
        <v>0</v>
      </c>
      <c r="AI198" s="20">
        <f>IF($D$2="JA",Dashboard!$K$26-$AH$11+AH198,Dashboard!$K$26)</f>
        <v>2.3800000000000002E-2</v>
      </c>
      <c r="AJ198" s="27">
        <f>Tabel2[[#This Row],[Schuldrest]]*AI198/12</f>
        <v>227.0775052440811</v>
      </c>
      <c r="AK198" s="20">
        <f>IF($D$2="JA",Dashboard!$K$27-$AH$11+AH198,Dashboard!$K$27)</f>
        <v>2.3800000000000002E-2</v>
      </c>
      <c r="AL198" s="27">
        <f t="shared" si="36"/>
        <v>0</v>
      </c>
      <c r="AM198" s="20">
        <f>IF($D$2="JA",Dashboard!$K$28-$AH$11+AH198,Dashboard!$K$28)</f>
        <v>2.3800000000000002E-2</v>
      </c>
      <c r="AN198" s="27">
        <f t="shared" si="37"/>
        <v>0</v>
      </c>
      <c r="AO198" s="63">
        <f>Tabel2[[#This Row],[Aflossing]]+V198</f>
        <v>555.39950489847297</v>
      </c>
      <c r="AP198" s="63">
        <f t="shared" si="51"/>
        <v>227.0775052440811</v>
      </c>
      <c r="AQ198" s="2">
        <f t="shared" si="38"/>
        <v>259.05785923637558</v>
      </c>
      <c r="AU198" s="20"/>
      <c r="AV198" s="20"/>
    </row>
    <row r="199" spans="1:48">
      <c r="A199" s="71">
        <v>188</v>
      </c>
      <c r="B199" s="77">
        <f t="shared" si="39"/>
        <v>113937.46028203316</v>
      </c>
      <c r="C199" s="73">
        <f>B199/Dashboard!$I$25</f>
        <v>0.45574984112813266</v>
      </c>
      <c r="D199" s="74">
        <f t="shared" si="40"/>
        <v>0</v>
      </c>
      <c r="E199" s="73">
        <f>IF($D$2="JA",Dashboard!$K$26-$D$11+D199,Dashboard!$K$26)</f>
        <v>2.3800000000000002E-2</v>
      </c>
      <c r="F199" s="72">
        <f t="shared" si="41"/>
        <v>225.97596289269913</v>
      </c>
      <c r="G199" s="72">
        <f t="shared" si="52"/>
        <v>556.50104724985476</v>
      </c>
      <c r="H199" s="72">
        <f>IFERROR(-PMT(E199^1/12,Dashboard!$I$30-A199,B199),0)</f>
        <v>782.47701014255392</v>
      </c>
      <c r="I199" s="75">
        <f t="shared" si="42"/>
        <v>782.47701014255392</v>
      </c>
      <c r="J199" s="76">
        <f t="shared" si="53"/>
        <v>115446.02839115556</v>
      </c>
      <c r="K199" s="76">
        <f>J199*Dashboard!$K$26/12</f>
        <v>257.8294634069141</v>
      </c>
      <c r="L199" s="76">
        <f t="shared" si="43"/>
        <v>551.25637917044105</v>
      </c>
      <c r="M199" s="76">
        <f>IF(H199=0,0,IFERROR(-PMT(Dashboard!$K$26^1/12,Dashboard!$I$30,Dashboard!$I$26),0))</f>
        <v>809.08584257735515</v>
      </c>
      <c r="P199" s="59">
        <v>188</v>
      </c>
      <c r="Q199" s="28">
        <f t="shared" si="44"/>
        <v>0</v>
      </c>
      <c r="R199" s="20">
        <f>Q199/Dashboard!$I$25</f>
        <v>0</v>
      </c>
      <c r="S199" s="20">
        <f t="shared" si="45"/>
        <v>0</v>
      </c>
      <c r="T199" s="20">
        <f>IF($D$2="JA",Dashboard!$K$27-$S$11+S199,Dashboard!$K$27)</f>
        <v>2.6800000000000001E-2</v>
      </c>
      <c r="U199" s="27">
        <f t="shared" si="46"/>
        <v>0</v>
      </c>
      <c r="V199" s="26">
        <f>IF(Q199&lt;=1,0,Dashboard!$I$27/Dashboard!$I$30)</f>
        <v>0</v>
      </c>
      <c r="W199" s="28">
        <f>Q199*Dashboard!$K$27/12</f>
        <v>0</v>
      </c>
      <c r="Y199" s="59">
        <v>188</v>
      </c>
      <c r="Z199" s="67">
        <f>Dashboard!$I$28</f>
        <v>0</v>
      </c>
      <c r="AA199" s="64">
        <f>IF(Z199&lt;=1,0,Dashboard!$I$30-Y199)</f>
        <v>0</v>
      </c>
      <c r="AB199" s="64">
        <f t="shared" si="47"/>
        <v>0</v>
      </c>
      <c r="AC199" s="1">
        <f>Dashboard!$K$28</f>
        <v>2.6800000000000001E-2</v>
      </c>
      <c r="AD199" s="28">
        <f t="shared" si="48"/>
        <v>0</v>
      </c>
      <c r="AF199" s="2">
        <f t="shared" si="49"/>
        <v>113937.46028203316</v>
      </c>
      <c r="AG199" s="62">
        <f>(B199+Q199+Z199)/Dashboard!$I$25</f>
        <v>0.45574984112813266</v>
      </c>
      <c r="AH199" s="20">
        <f t="shared" si="50"/>
        <v>0</v>
      </c>
      <c r="AI199" s="20">
        <f>IF($D$2="JA",Dashboard!$K$26-$AH$11+AH199,Dashboard!$K$26)</f>
        <v>2.3800000000000002E-2</v>
      </c>
      <c r="AJ199" s="27">
        <f>Tabel2[[#This Row],[Schuldrest]]*AI199/12</f>
        <v>225.97596289269913</v>
      </c>
      <c r="AK199" s="20">
        <f>IF($D$2="JA",Dashboard!$K$27-$AH$11+AH199,Dashboard!$K$27)</f>
        <v>2.3800000000000002E-2</v>
      </c>
      <c r="AL199" s="27">
        <f t="shared" si="36"/>
        <v>0</v>
      </c>
      <c r="AM199" s="20">
        <f>IF($D$2="JA",Dashboard!$K$28-$AH$11+AH199,Dashboard!$K$28)</f>
        <v>2.3800000000000002E-2</v>
      </c>
      <c r="AN199" s="27">
        <f t="shared" si="37"/>
        <v>0</v>
      </c>
      <c r="AO199" s="63">
        <f>Tabel2[[#This Row],[Aflossing]]+V199</f>
        <v>556.50104724985476</v>
      </c>
      <c r="AP199" s="63">
        <f t="shared" si="51"/>
        <v>225.97596289269913</v>
      </c>
      <c r="AQ199" s="2">
        <f t="shared" si="38"/>
        <v>257.8294634069141</v>
      </c>
      <c r="AU199" s="20"/>
      <c r="AV199" s="20"/>
    </row>
    <row r="200" spans="1:48">
      <c r="A200" s="71">
        <v>189</v>
      </c>
      <c r="B200" s="77">
        <f t="shared" si="39"/>
        <v>113380.95923478331</v>
      </c>
      <c r="C200" s="73">
        <f>B200/Dashboard!$I$25</f>
        <v>0.45352383693913323</v>
      </c>
      <c r="D200" s="74">
        <f t="shared" si="40"/>
        <v>0</v>
      </c>
      <c r="E200" s="73">
        <f>IF($D$2="JA",Dashboard!$K$26-$D$11+D200,Dashboard!$K$26)</f>
        <v>2.3800000000000002E-2</v>
      </c>
      <c r="F200" s="72">
        <f t="shared" si="41"/>
        <v>224.87223581565357</v>
      </c>
      <c r="G200" s="72">
        <f t="shared" si="52"/>
        <v>557.6047743269005</v>
      </c>
      <c r="H200" s="72">
        <f>IFERROR(-PMT(E200^1/12,Dashboard!$I$30-A200,B200),0)</f>
        <v>782.47701014255404</v>
      </c>
      <c r="I200" s="75">
        <f t="shared" si="42"/>
        <v>782.47701014255404</v>
      </c>
      <c r="J200" s="76">
        <f t="shared" si="53"/>
        <v>114894.77201198511</v>
      </c>
      <c r="K200" s="76">
        <f>J200*Dashboard!$K$26/12</f>
        <v>256.59832416010011</v>
      </c>
      <c r="L200" s="76">
        <f t="shared" si="43"/>
        <v>552.48751841725505</v>
      </c>
      <c r="M200" s="76">
        <f>IF(H200=0,0,IFERROR(-PMT(Dashboard!$K$26^1/12,Dashboard!$I$30,Dashboard!$I$26),0))</f>
        <v>809.08584257735515</v>
      </c>
      <c r="P200" s="59">
        <v>189</v>
      </c>
      <c r="Q200" s="28">
        <f t="shared" si="44"/>
        <v>0</v>
      </c>
      <c r="R200" s="20">
        <f>Q200/Dashboard!$I$25</f>
        <v>0</v>
      </c>
      <c r="S200" s="20">
        <f t="shared" si="45"/>
        <v>0</v>
      </c>
      <c r="T200" s="20">
        <f>IF($D$2="JA",Dashboard!$K$27-$S$11+S200,Dashboard!$K$27)</f>
        <v>2.6800000000000001E-2</v>
      </c>
      <c r="U200" s="27">
        <f t="shared" si="46"/>
        <v>0</v>
      </c>
      <c r="V200" s="26">
        <f>IF(Q200&lt;=1,0,Dashboard!$I$27/Dashboard!$I$30)</f>
        <v>0</v>
      </c>
      <c r="W200" s="28">
        <f>Q200*Dashboard!$K$27/12</f>
        <v>0</v>
      </c>
      <c r="Y200" s="59">
        <v>189</v>
      </c>
      <c r="Z200" s="67">
        <f>Dashboard!$I$28</f>
        <v>0</v>
      </c>
      <c r="AA200" s="64">
        <f>IF(Z200&lt;=1,0,Dashboard!$I$30-Y200)</f>
        <v>0</v>
      </c>
      <c r="AB200" s="64">
        <f t="shared" si="47"/>
        <v>0</v>
      </c>
      <c r="AC200" s="1">
        <f>Dashboard!$K$28</f>
        <v>2.6800000000000001E-2</v>
      </c>
      <c r="AD200" s="28">
        <f t="shared" si="48"/>
        <v>0</v>
      </c>
      <c r="AF200" s="2">
        <f t="shared" si="49"/>
        <v>113380.95923478331</v>
      </c>
      <c r="AG200" s="62">
        <f>(B200+Q200+Z200)/Dashboard!$I$25</f>
        <v>0.45352383693913323</v>
      </c>
      <c r="AH200" s="20">
        <f t="shared" si="50"/>
        <v>0</v>
      </c>
      <c r="AI200" s="20">
        <f>IF($D$2="JA",Dashboard!$K$26-$AH$11+AH200,Dashboard!$K$26)</f>
        <v>2.3800000000000002E-2</v>
      </c>
      <c r="AJ200" s="27">
        <f>Tabel2[[#This Row],[Schuldrest]]*AI200/12</f>
        <v>224.87223581565357</v>
      </c>
      <c r="AK200" s="20">
        <f>IF($D$2="JA",Dashboard!$K$27-$AH$11+AH200,Dashboard!$K$27)</f>
        <v>2.3800000000000002E-2</v>
      </c>
      <c r="AL200" s="27">
        <f t="shared" si="36"/>
        <v>0</v>
      </c>
      <c r="AM200" s="20">
        <f>IF($D$2="JA",Dashboard!$K$28-$AH$11+AH200,Dashboard!$K$28)</f>
        <v>2.3800000000000002E-2</v>
      </c>
      <c r="AN200" s="27">
        <f t="shared" si="37"/>
        <v>0</v>
      </c>
      <c r="AO200" s="63">
        <f>Tabel2[[#This Row],[Aflossing]]+V200</f>
        <v>557.6047743269005</v>
      </c>
      <c r="AP200" s="63">
        <f t="shared" si="51"/>
        <v>224.87223581565357</v>
      </c>
      <c r="AQ200" s="2">
        <f t="shared" si="38"/>
        <v>256.59832416010011</v>
      </c>
      <c r="AU200" s="20"/>
      <c r="AV200" s="20"/>
    </row>
    <row r="201" spans="1:48">
      <c r="A201" s="71">
        <v>190</v>
      </c>
      <c r="B201" s="77">
        <f t="shared" si="39"/>
        <v>112823.35446045641</v>
      </c>
      <c r="C201" s="73">
        <f>B201/Dashboard!$I$25</f>
        <v>0.45129341784182564</v>
      </c>
      <c r="D201" s="74">
        <f t="shared" si="40"/>
        <v>0</v>
      </c>
      <c r="E201" s="73">
        <f>IF($D$2="JA",Dashboard!$K$26-$D$11+D201,Dashboard!$K$26)</f>
        <v>2.3800000000000002E-2</v>
      </c>
      <c r="F201" s="72">
        <f t="shared" si="41"/>
        <v>223.76631967990522</v>
      </c>
      <c r="G201" s="72">
        <f t="shared" si="52"/>
        <v>558.71069046264881</v>
      </c>
      <c r="H201" s="72">
        <f>IFERROR(-PMT(E201^1/12,Dashboard!$I$30-A201,B201),0)</f>
        <v>782.47701014255404</v>
      </c>
      <c r="I201" s="75">
        <f t="shared" si="42"/>
        <v>782.47701014255404</v>
      </c>
      <c r="J201" s="76">
        <f t="shared" si="53"/>
        <v>114342.28449356786</v>
      </c>
      <c r="K201" s="76">
        <f>J201*Dashboard!$K$26/12</f>
        <v>255.36443536896823</v>
      </c>
      <c r="L201" s="76">
        <f t="shared" si="43"/>
        <v>553.72140720838695</v>
      </c>
      <c r="M201" s="76">
        <f>IF(H201=0,0,IFERROR(-PMT(Dashboard!$K$26^1/12,Dashboard!$I$30,Dashboard!$I$26),0))</f>
        <v>809.08584257735515</v>
      </c>
      <c r="P201" s="59">
        <v>190</v>
      </c>
      <c r="Q201" s="28">
        <f t="shared" si="44"/>
        <v>0</v>
      </c>
      <c r="R201" s="20">
        <f>Q201/Dashboard!$I$25</f>
        <v>0</v>
      </c>
      <c r="S201" s="20">
        <f t="shared" si="45"/>
        <v>0</v>
      </c>
      <c r="T201" s="20">
        <f>IF($D$2="JA",Dashboard!$K$27-$S$11+S201,Dashboard!$K$27)</f>
        <v>2.6800000000000001E-2</v>
      </c>
      <c r="U201" s="27">
        <f t="shared" si="46"/>
        <v>0</v>
      </c>
      <c r="V201" s="26">
        <f>IF(Q201&lt;=1,0,Dashboard!$I$27/Dashboard!$I$30)</f>
        <v>0</v>
      </c>
      <c r="W201" s="28">
        <f>Q201*Dashboard!$K$27/12</f>
        <v>0</v>
      </c>
      <c r="Y201" s="59">
        <v>190</v>
      </c>
      <c r="Z201" s="67">
        <f>Dashboard!$I$28</f>
        <v>0</v>
      </c>
      <c r="AA201" s="64">
        <f>IF(Z201&lt;=1,0,Dashboard!$I$30-Y201)</f>
        <v>0</v>
      </c>
      <c r="AB201" s="64">
        <f t="shared" si="47"/>
        <v>0</v>
      </c>
      <c r="AC201" s="1">
        <f>Dashboard!$K$28</f>
        <v>2.6800000000000001E-2</v>
      </c>
      <c r="AD201" s="28">
        <f t="shared" si="48"/>
        <v>0</v>
      </c>
      <c r="AF201" s="2">
        <f t="shared" si="49"/>
        <v>112823.35446045641</v>
      </c>
      <c r="AG201" s="62">
        <f>(B201+Q201+Z201)/Dashboard!$I$25</f>
        <v>0.45129341784182564</v>
      </c>
      <c r="AH201" s="20">
        <f t="shared" si="50"/>
        <v>0</v>
      </c>
      <c r="AI201" s="20">
        <f>IF($D$2="JA",Dashboard!$K$26-$AH$11+AH201,Dashboard!$K$26)</f>
        <v>2.3800000000000002E-2</v>
      </c>
      <c r="AJ201" s="27">
        <f>Tabel2[[#This Row],[Schuldrest]]*AI201/12</f>
        <v>223.76631967990522</v>
      </c>
      <c r="AK201" s="20">
        <f>IF($D$2="JA",Dashboard!$K$27-$AH$11+AH201,Dashboard!$K$27)</f>
        <v>2.3800000000000002E-2</v>
      </c>
      <c r="AL201" s="27">
        <f t="shared" si="36"/>
        <v>0</v>
      </c>
      <c r="AM201" s="20">
        <f>IF($D$2="JA",Dashboard!$K$28-$AH$11+AH201,Dashboard!$K$28)</f>
        <v>2.3800000000000002E-2</v>
      </c>
      <c r="AN201" s="27">
        <f t="shared" si="37"/>
        <v>0</v>
      </c>
      <c r="AO201" s="63">
        <f>Tabel2[[#This Row],[Aflossing]]+V201</f>
        <v>558.71069046264881</v>
      </c>
      <c r="AP201" s="63">
        <f t="shared" si="51"/>
        <v>223.76631967990522</v>
      </c>
      <c r="AQ201" s="2">
        <f t="shared" si="38"/>
        <v>255.36443536896823</v>
      </c>
      <c r="AU201" s="20"/>
      <c r="AV201" s="20"/>
    </row>
    <row r="202" spans="1:48">
      <c r="A202" s="71">
        <v>191</v>
      </c>
      <c r="B202" s="77">
        <f t="shared" si="39"/>
        <v>112264.64376999377</v>
      </c>
      <c r="C202" s="73">
        <f>B202/Dashboard!$I$25</f>
        <v>0.44905857507997504</v>
      </c>
      <c r="D202" s="74">
        <f t="shared" si="40"/>
        <v>0</v>
      </c>
      <c r="E202" s="73">
        <f>IF($D$2="JA",Dashboard!$K$26-$D$11+D202,Dashboard!$K$26)</f>
        <v>2.3800000000000002E-2</v>
      </c>
      <c r="F202" s="72">
        <f t="shared" si="41"/>
        <v>222.65821014382098</v>
      </c>
      <c r="G202" s="72">
        <f t="shared" si="52"/>
        <v>559.81879999873308</v>
      </c>
      <c r="H202" s="72">
        <f>IFERROR(-PMT(E202^1/12,Dashboard!$I$30-A202,B202),0)</f>
        <v>782.47701014255404</v>
      </c>
      <c r="I202" s="75">
        <f t="shared" si="42"/>
        <v>782.47701014255404</v>
      </c>
      <c r="J202" s="76">
        <f t="shared" si="53"/>
        <v>113788.56308635947</v>
      </c>
      <c r="K202" s="76">
        <f>J202*Dashboard!$K$26/12</f>
        <v>254.12779089286948</v>
      </c>
      <c r="L202" s="76">
        <f t="shared" si="43"/>
        <v>554.95805168448567</v>
      </c>
      <c r="M202" s="76">
        <f>IF(H202=0,0,IFERROR(-PMT(Dashboard!$K$26^1/12,Dashboard!$I$30,Dashboard!$I$26),0))</f>
        <v>809.08584257735515</v>
      </c>
      <c r="P202" s="59">
        <v>191</v>
      </c>
      <c r="Q202" s="28">
        <f t="shared" si="44"/>
        <v>0</v>
      </c>
      <c r="R202" s="20">
        <f>Q202/Dashboard!$I$25</f>
        <v>0</v>
      </c>
      <c r="S202" s="20">
        <f t="shared" si="45"/>
        <v>0</v>
      </c>
      <c r="T202" s="20">
        <f>IF($D$2="JA",Dashboard!$K$27-$S$11+S202,Dashboard!$K$27)</f>
        <v>2.6800000000000001E-2</v>
      </c>
      <c r="U202" s="27">
        <f t="shared" si="46"/>
        <v>0</v>
      </c>
      <c r="V202" s="26">
        <f>IF(Q202&lt;=1,0,Dashboard!$I$27/Dashboard!$I$30)</f>
        <v>0</v>
      </c>
      <c r="W202" s="28">
        <f>Q202*Dashboard!$K$27/12</f>
        <v>0</v>
      </c>
      <c r="Y202" s="59">
        <v>191</v>
      </c>
      <c r="Z202" s="67">
        <f>Dashboard!$I$28</f>
        <v>0</v>
      </c>
      <c r="AA202" s="64">
        <f>IF(Z202&lt;=1,0,Dashboard!$I$30-Y202)</f>
        <v>0</v>
      </c>
      <c r="AB202" s="64">
        <f t="shared" si="47"/>
        <v>0</v>
      </c>
      <c r="AC202" s="1">
        <f>Dashboard!$K$28</f>
        <v>2.6800000000000001E-2</v>
      </c>
      <c r="AD202" s="28">
        <f t="shared" si="48"/>
        <v>0</v>
      </c>
      <c r="AF202" s="2">
        <f t="shared" si="49"/>
        <v>112264.64376999377</v>
      </c>
      <c r="AG202" s="62">
        <f>(B202+Q202+Z202)/Dashboard!$I$25</f>
        <v>0.44905857507997504</v>
      </c>
      <c r="AH202" s="20">
        <f t="shared" si="50"/>
        <v>0</v>
      </c>
      <c r="AI202" s="20">
        <f>IF($D$2="JA",Dashboard!$K$26-$AH$11+AH202,Dashboard!$K$26)</f>
        <v>2.3800000000000002E-2</v>
      </c>
      <c r="AJ202" s="27">
        <f>Tabel2[[#This Row],[Schuldrest]]*AI202/12</f>
        <v>222.65821014382098</v>
      </c>
      <c r="AK202" s="20">
        <f>IF($D$2="JA",Dashboard!$K$27-$AH$11+AH202,Dashboard!$K$27)</f>
        <v>2.3800000000000002E-2</v>
      </c>
      <c r="AL202" s="27">
        <f t="shared" si="36"/>
        <v>0</v>
      </c>
      <c r="AM202" s="20">
        <f>IF($D$2="JA",Dashboard!$K$28-$AH$11+AH202,Dashboard!$K$28)</f>
        <v>2.3800000000000002E-2</v>
      </c>
      <c r="AN202" s="27">
        <f t="shared" si="37"/>
        <v>0</v>
      </c>
      <c r="AO202" s="63">
        <f>Tabel2[[#This Row],[Aflossing]]+V202</f>
        <v>559.81879999873308</v>
      </c>
      <c r="AP202" s="63">
        <f t="shared" si="51"/>
        <v>222.65821014382098</v>
      </c>
      <c r="AQ202" s="2">
        <f t="shared" si="38"/>
        <v>254.12779089286948</v>
      </c>
      <c r="AU202" s="20"/>
      <c r="AV202" s="20"/>
    </row>
    <row r="203" spans="1:48">
      <c r="A203" s="71">
        <v>192</v>
      </c>
      <c r="B203" s="77">
        <f t="shared" si="39"/>
        <v>111704.82496999504</v>
      </c>
      <c r="C203" s="73">
        <f>B203/Dashboard!$I$25</f>
        <v>0.44681929987998015</v>
      </c>
      <c r="D203" s="74">
        <f t="shared" si="40"/>
        <v>0</v>
      </c>
      <c r="E203" s="73">
        <f>IF($D$2="JA",Dashboard!$K$26-$D$11+D203,Dashboard!$K$26)</f>
        <v>2.3800000000000002E-2</v>
      </c>
      <c r="F203" s="72">
        <f t="shared" si="41"/>
        <v>221.54790285715683</v>
      </c>
      <c r="G203" s="72">
        <f t="shared" si="52"/>
        <v>560.92910728539732</v>
      </c>
      <c r="H203" s="72">
        <f>IFERROR(-PMT(E203^1/12,Dashboard!$I$30-A203,B203),0)</f>
        <v>782.47701014255415</v>
      </c>
      <c r="I203" s="75">
        <f t="shared" si="42"/>
        <v>782.47701014255415</v>
      </c>
      <c r="J203" s="76">
        <f t="shared" si="53"/>
        <v>113233.60503467498</v>
      </c>
      <c r="K203" s="76">
        <f>J203*Dashboard!$K$26/12</f>
        <v>252.8883845774408</v>
      </c>
      <c r="L203" s="76">
        <f t="shared" si="43"/>
        <v>556.19745799991438</v>
      </c>
      <c r="M203" s="76">
        <f>IF(H203=0,0,IFERROR(-PMT(Dashboard!$K$26^1/12,Dashboard!$I$30,Dashboard!$I$26),0))</f>
        <v>809.08584257735515</v>
      </c>
      <c r="P203" s="59">
        <v>192</v>
      </c>
      <c r="Q203" s="28">
        <f t="shared" si="44"/>
        <v>0</v>
      </c>
      <c r="R203" s="20">
        <f>Q203/Dashboard!$I$25</f>
        <v>0</v>
      </c>
      <c r="S203" s="20">
        <f t="shared" si="45"/>
        <v>0</v>
      </c>
      <c r="T203" s="20">
        <f>IF($D$2="JA",Dashboard!$K$27-$S$11+S203,Dashboard!$K$27)</f>
        <v>2.6800000000000001E-2</v>
      </c>
      <c r="U203" s="27">
        <f t="shared" si="46"/>
        <v>0</v>
      </c>
      <c r="V203" s="26">
        <f>IF(Q203&lt;=1,0,Dashboard!$I$27/Dashboard!$I$30)</f>
        <v>0</v>
      </c>
      <c r="W203" s="28">
        <f>Q203*Dashboard!$K$27/12</f>
        <v>0</v>
      </c>
      <c r="Y203" s="59">
        <v>192</v>
      </c>
      <c r="Z203" s="67">
        <f>Dashboard!$I$28</f>
        <v>0</v>
      </c>
      <c r="AA203" s="64">
        <f>IF(Z203&lt;=1,0,Dashboard!$I$30-Y203)</f>
        <v>0</v>
      </c>
      <c r="AB203" s="64">
        <f t="shared" si="47"/>
        <v>0</v>
      </c>
      <c r="AC203" s="1">
        <f>Dashboard!$K$28</f>
        <v>2.6800000000000001E-2</v>
      </c>
      <c r="AD203" s="28">
        <f t="shared" si="48"/>
        <v>0</v>
      </c>
      <c r="AF203" s="2">
        <f t="shared" si="49"/>
        <v>111704.82496999504</v>
      </c>
      <c r="AG203" s="62">
        <f>(B203+Q203+Z203)/Dashboard!$I$25</f>
        <v>0.44681929987998015</v>
      </c>
      <c r="AH203" s="20">
        <f t="shared" si="50"/>
        <v>0</v>
      </c>
      <c r="AI203" s="20">
        <f>IF($D$2="JA",Dashboard!$K$26-$AH$11+AH203,Dashboard!$K$26)</f>
        <v>2.3800000000000002E-2</v>
      </c>
      <c r="AJ203" s="27">
        <f>Tabel2[[#This Row],[Schuldrest]]*AI203/12</f>
        <v>221.54790285715683</v>
      </c>
      <c r="AK203" s="20">
        <f>IF($D$2="JA",Dashboard!$K$27-$AH$11+AH203,Dashboard!$K$27)</f>
        <v>2.3800000000000002E-2</v>
      </c>
      <c r="AL203" s="27">
        <f t="shared" ref="AL203:AL266" si="54">Q203*AK203/12</f>
        <v>0</v>
      </c>
      <c r="AM203" s="20">
        <f>IF($D$2="JA",Dashboard!$K$28-$AH$11+AH203,Dashboard!$K$28)</f>
        <v>2.3800000000000002E-2</v>
      </c>
      <c r="AN203" s="27">
        <f t="shared" ref="AN203:AN266" si="55">AB203*AM203/12</f>
        <v>0</v>
      </c>
      <c r="AO203" s="63">
        <f>Tabel2[[#This Row],[Aflossing]]+V203</f>
        <v>560.92910728539732</v>
      </c>
      <c r="AP203" s="63">
        <f t="shared" si="51"/>
        <v>221.54790285715683</v>
      </c>
      <c r="AQ203" s="2">
        <f t="shared" ref="AQ203:AQ266" si="56">K203+W203+AD203</f>
        <v>252.8883845774408</v>
      </c>
      <c r="AU203" s="20"/>
      <c r="AV203" s="20"/>
    </row>
    <row r="204" spans="1:48">
      <c r="A204" s="71">
        <v>193</v>
      </c>
      <c r="B204" s="77">
        <f t="shared" ref="B204:B267" si="57">B203-G203</f>
        <v>111143.89586270964</v>
      </c>
      <c r="C204" s="73">
        <f>B204/Dashboard!$I$25</f>
        <v>0.44457558345083859</v>
      </c>
      <c r="D204" s="74">
        <f t="shared" ref="D204:D267" si="58">IF(C204&lt;=$C$5,0,VLOOKUP(C204,$C$6:$E$8,3))</f>
        <v>0</v>
      </c>
      <c r="E204" s="73">
        <f>IF($D$2="JA",Dashboard!$K$26-$D$11+D204,Dashboard!$K$26)</f>
        <v>2.3800000000000002E-2</v>
      </c>
      <c r="F204" s="72">
        <f t="shared" ref="F204:F267" si="59">B204*E204/12</f>
        <v>220.4353934610408</v>
      </c>
      <c r="G204" s="72">
        <f t="shared" si="52"/>
        <v>562.04161668151335</v>
      </c>
      <c r="H204" s="72">
        <f>IFERROR(-PMT(E204^1/12,Dashboard!$I$30-A204,B204),0)</f>
        <v>782.47701014255415</v>
      </c>
      <c r="I204" s="75">
        <f t="shared" ref="I204:I267" si="60">H204</f>
        <v>782.47701014255415</v>
      </c>
      <c r="J204" s="76">
        <f t="shared" si="53"/>
        <v>112677.40757667508</v>
      </c>
      <c r="K204" s="76">
        <f>J204*Dashboard!$K$26/12</f>
        <v>251.64621025457436</v>
      </c>
      <c r="L204" s="76">
        <f t="shared" ref="L204:L267" si="61">M204-K204</f>
        <v>557.43963232278077</v>
      </c>
      <c r="M204" s="76">
        <f>IF(H204=0,0,IFERROR(-PMT(Dashboard!$K$26^1/12,Dashboard!$I$30,Dashboard!$I$26),0))</f>
        <v>809.08584257735515</v>
      </c>
      <c r="P204" s="59">
        <v>193</v>
      </c>
      <c r="Q204" s="28">
        <f t="shared" ref="Q204:Q267" si="62">MAX(Q203-V203,0)</f>
        <v>0</v>
      </c>
      <c r="R204" s="20">
        <f>Q204/Dashboard!$I$25</f>
        <v>0</v>
      </c>
      <c r="S204" s="20">
        <f t="shared" ref="S204:S267" si="63">IF(R204&lt;=$C$5,0,VLOOKUP(C204,$C$6:$E$8,3))</f>
        <v>0</v>
      </c>
      <c r="T204" s="20">
        <f>IF($D$2="JA",Dashboard!$K$27-$S$11+S204,Dashboard!$K$27)</f>
        <v>2.6800000000000001E-2</v>
      </c>
      <c r="U204" s="27">
        <f t="shared" ref="U204:U267" si="64">Q204*T204/12</f>
        <v>0</v>
      </c>
      <c r="V204" s="26">
        <f>IF(Q204&lt;=1,0,Dashboard!$I$27/Dashboard!$I$30)</f>
        <v>0</v>
      </c>
      <c r="W204" s="28">
        <f>Q204*Dashboard!$K$27/12</f>
        <v>0</v>
      </c>
      <c r="Y204" s="59">
        <v>193</v>
      </c>
      <c r="Z204" s="67">
        <f>Dashboard!$I$28</f>
        <v>0</v>
      </c>
      <c r="AA204" s="64">
        <f>IF(Z204&lt;=1,0,Dashboard!$I$30-Y204)</f>
        <v>0</v>
      </c>
      <c r="AB204" s="64">
        <f t="shared" ref="AB204:AB267" si="65">IF(AA204&lt;=0,0,Z204)</f>
        <v>0</v>
      </c>
      <c r="AC204" s="1">
        <f>Dashboard!$K$28</f>
        <v>2.6800000000000001E-2</v>
      </c>
      <c r="AD204" s="28">
        <f t="shared" ref="AD204:AD267" si="66">AB204*AC204/12</f>
        <v>0</v>
      </c>
      <c r="AF204" s="2">
        <f t="shared" ref="AF204:AF267" si="67">SUM(B204,Q204,AB204)</f>
        <v>111143.89586270964</v>
      </c>
      <c r="AG204" s="62">
        <f>(B204+Q204+Z204)/Dashboard!$I$25</f>
        <v>0.44457558345083859</v>
      </c>
      <c r="AH204" s="20">
        <f t="shared" ref="AH204:AH267" si="68">IF(AG204&lt;=$C$5,0,VLOOKUP(AG204,$C$6:$E$8,3))</f>
        <v>0</v>
      </c>
      <c r="AI204" s="20">
        <f>IF($D$2="JA",Dashboard!$K$26-$AH$11+AH204,Dashboard!$K$26)</f>
        <v>2.3800000000000002E-2</v>
      </c>
      <c r="AJ204" s="27">
        <f>Tabel2[[#This Row],[Schuldrest]]*AI204/12</f>
        <v>220.4353934610408</v>
      </c>
      <c r="AK204" s="20">
        <f>IF($D$2="JA",Dashboard!$K$27-$AH$11+AH204,Dashboard!$K$27)</f>
        <v>2.3800000000000002E-2</v>
      </c>
      <c r="AL204" s="27">
        <f t="shared" si="54"/>
        <v>0</v>
      </c>
      <c r="AM204" s="20">
        <f>IF($D$2="JA",Dashboard!$K$28-$AH$11+AH204,Dashboard!$K$28)</f>
        <v>2.3800000000000002E-2</v>
      </c>
      <c r="AN204" s="27">
        <f t="shared" si="55"/>
        <v>0</v>
      </c>
      <c r="AO204" s="63">
        <f>Tabel2[[#This Row],[Aflossing]]+V204</f>
        <v>562.04161668151335</v>
      </c>
      <c r="AP204" s="63">
        <f t="shared" ref="AP204:AP267" si="69">AJ204+AL204+AN204</f>
        <v>220.4353934610408</v>
      </c>
      <c r="AQ204" s="2">
        <f t="shared" si="56"/>
        <v>251.64621025457436</v>
      </c>
      <c r="AU204" s="20"/>
      <c r="AV204" s="20"/>
    </row>
    <row r="205" spans="1:48">
      <c r="A205" s="71">
        <v>194</v>
      </c>
      <c r="B205" s="77">
        <f t="shared" si="57"/>
        <v>110581.85424602813</v>
      </c>
      <c r="C205" s="73">
        <f>B205/Dashboard!$I$25</f>
        <v>0.44232741698411254</v>
      </c>
      <c r="D205" s="74">
        <f t="shared" si="58"/>
        <v>0</v>
      </c>
      <c r="E205" s="73">
        <f>IF($D$2="JA",Dashboard!$K$26-$D$11+D205,Dashboard!$K$26)</f>
        <v>2.3800000000000002E-2</v>
      </c>
      <c r="F205" s="72">
        <f t="shared" si="59"/>
        <v>219.32067758795583</v>
      </c>
      <c r="G205" s="72">
        <f t="shared" ref="G205:G268" si="70">H205-F205</f>
        <v>563.15633255459807</v>
      </c>
      <c r="H205" s="72">
        <f>IFERROR(-PMT(E205^1/12,Dashboard!$I$30-A205,B205),0)</f>
        <v>782.47701014255392</v>
      </c>
      <c r="I205" s="75">
        <f t="shared" si="60"/>
        <v>782.47701014255392</v>
      </c>
      <c r="J205" s="76">
        <f t="shared" ref="J205:J268" si="71">MAX(J204-L204,0)</f>
        <v>112119.96794435229</v>
      </c>
      <c r="K205" s="76">
        <f>J205*Dashboard!$K$26/12</f>
        <v>250.40126174238677</v>
      </c>
      <c r="L205" s="76">
        <f t="shared" si="61"/>
        <v>558.68458083496841</v>
      </c>
      <c r="M205" s="76">
        <f>IF(H205=0,0,IFERROR(-PMT(Dashboard!$K$26^1/12,Dashboard!$I$30,Dashboard!$I$26),0))</f>
        <v>809.08584257735515</v>
      </c>
      <c r="P205" s="59">
        <v>194</v>
      </c>
      <c r="Q205" s="28">
        <f t="shared" si="62"/>
        <v>0</v>
      </c>
      <c r="R205" s="20">
        <f>Q205/Dashboard!$I$25</f>
        <v>0</v>
      </c>
      <c r="S205" s="20">
        <f t="shared" si="63"/>
        <v>0</v>
      </c>
      <c r="T205" s="20">
        <f>IF($D$2="JA",Dashboard!$K$27-$S$11+S205,Dashboard!$K$27)</f>
        <v>2.6800000000000001E-2</v>
      </c>
      <c r="U205" s="27">
        <f t="shared" si="64"/>
        <v>0</v>
      </c>
      <c r="V205" s="26">
        <f>IF(Q205&lt;=1,0,Dashboard!$I$27/Dashboard!$I$30)</f>
        <v>0</v>
      </c>
      <c r="W205" s="28">
        <f>Q205*Dashboard!$K$27/12</f>
        <v>0</v>
      </c>
      <c r="Y205" s="59">
        <v>194</v>
      </c>
      <c r="Z205" s="67">
        <f>Dashboard!$I$28</f>
        <v>0</v>
      </c>
      <c r="AA205" s="64">
        <f>IF(Z205&lt;=1,0,Dashboard!$I$30-Y205)</f>
        <v>0</v>
      </c>
      <c r="AB205" s="64">
        <f t="shared" si="65"/>
        <v>0</v>
      </c>
      <c r="AC205" s="1">
        <f>Dashboard!$K$28</f>
        <v>2.6800000000000001E-2</v>
      </c>
      <c r="AD205" s="28">
        <f t="shared" si="66"/>
        <v>0</v>
      </c>
      <c r="AF205" s="2">
        <f t="shared" si="67"/>
        <v>110581.85424602813</v>
      </c>
      <c r="AG205" s="62">
        <f>(B205+Q205+Z205)/Dashboard!$I$25</f>
        <v>0.44232741698411254</v>
      </c>
      <c r="AH205" s="20">
        <f t="shared" si="68"/>
        <v>0</v>
      </c>
      <c r="AI205" s="20">
        <f>IF($D$2="JA",Dashboard!$K$26-$AH$11+AH205,Dashboard!$K$26)</f>
        <v>2.3800000000000002E-2</v>
      </c>
      <c r="AJ205" s="27">
        <f>Tabel2[[#This Row],[Schuldrest]]*AI205/12</f>
        <v>219.32067758795583</v>
      </c>
      <c r="AK205" s="20">
        <f>IF($D$2="JA",Dashboard!$K$27-$AH$11+AH205,Dashboard!$K$27)</f>
        <v>2.3800000000000002E-2</v>
      </c>
      <c r="AL205" s="27">
        <f t="shared" si="54"/>
        <v>0</v>
      </c>
      <c r="AM205" s="20">
        <f>IF($D$2="JA",Dashboard!$K$28-$AH$11+AH205,Dashboard!$K$28)</f>
        <v>2.3800000000000002E-2</v>
      </c>
      <c r="AN205" s="27">
        <f t="shared" si="55"/>
        <v>0</v>
      </c>
      <c r="AO205" s="63">
        <f>Tabel2[[#This Row],[Aflossing]]+V205</f>
        <v>563.15633255459807</v>
      </c>
      <c r="AP205" s="63">
        <f t="shared" si="69"/>
        <v>219.32067758795583</v>
      </c>
      <c r="AQ205" s="2">
        <f t="shared" si="56"/>
        <v>250.40126174238677</v>
      </c>
      <c r="AU205" s="20"/>
      <c r="AV205" s="20"/>
    </row>
    <row r="206" spans="1:48">
      <c r="A206" s="71">
        <v>195</v>
      </c>
      <c r="B206" s="77">
        <f t="shared" si="57"/>
        <v>110018.69791347353</v>
      </c>
      <c r="C206" s="73">
        <f>B206/Dashboard!$I$25</f>
        <v>0.44007479165389413</v>
      </c>
      <c r="D206" s="74">
        <f t="shared" si="58"/>
        <v>0</v>
      </c>
      <c r="E206" s="73">
        <f>IF($D$2="JA",Dashboard!$K$26-$D$11+D206,Dashboard!$K$26)</f>
        <v>2.3800000000000002E-2</v>
      </c>
      <c r="F206" s="72">
        <f t="shared" si="59"/>
        <v>218.20375086172251</v>
      </c>
      <c r="G206" s="72">
        <f t="shared" si="70"/>
        <v>564.27325928083155</v>
      </c>
      <c r="H206" s="72">
        <f>IFERROR(-PMT(E206^1/12,Dashboard!$I$30-A206,B206),0)</f>
        <v>782.47701014255404</v>
      </c>
      <c r="I206" s="75">
        <f t="shared" si="60"/>
        <v>782.47701014255404</v>
      </c>
      <c r="J206" s="76">
        <f t="shared" si="71"/>
        <v>111561.28336351732</v>
      </c>
      <c r="K206" s="76">
        <f>J206*Dashboard!$K$26/12</f>
        <v>249.15353284518869</v>
      </c>
      <c r="L206" s="76">
        <f t="shared" si="61"/>
        <v>559.93230973216646</v>
      </c>
      <c r="M206" s="76">
        <f>IF(H206=0,0,IFERROR(-PMT(Dashboard!$K$26^1/12,Dashboard!$I$30,Dashboard!$I$26),0))</f>
        <v>809.08584257735515</v>
      </c>
      <c r="P206" s="59">
        <v>195</v>
      </c>
      <c r="Q206" s="28">
        <f t="shared" si="62"/>
        <v>0</v>
      </c>
      <c r="R206" s="20">
        <f>Q206/Dashboard!$I$25</f>
        <v>0</v>
      </c>
      <c r="S206" s="20">
        <f t="shared" si="63"/>
        <v>0</v>
      </c>
      <c r="T206" s="20">
        <f>IF($D$2="JA",Dashboard!$K$27-$S$11+S206,Dashboard!$K$27)</f>
        <v>2.6800000000000001E-2</v>
      </c>
      <c r="U206" s="27">
        <f t="shared" si="64"/>
        <v>0</v>
      </c>
      <c r="V206" s="26">
        <f>IF(Q206&lt;=1,0,Dashboard!$I$27/Dashboard!$I$30)</f>
        <v>0</v>
      </c>
      <c r="W206" s="28">
        <f>Q206*Dashboard!$K$27/12</f>
        <v>0</v>
      </c>
      <c r="Y206" s="59">
        <v>195</v>
      </c>
      <c r="Z206" s="67">
        <f>Dashboard!$I$28</f>
        <v>0</v>
      </c>
      <c r="AA206" s="64">
        <f>IF(Z206&lt;=1,0,Dashboard!$I$30-Y206)</f>
        <v>0</v>
      </c>
      <c r="AB206" s="64">
        <f t="shared" si="65"/>
        <v>0</v>
      </c>
      <c r="AC206" s="1">
        <f>Dashboard!$K$28</f>
        <v>2.6800000000000001E-2</v>
      </c>
      <c r="AD206" s="28">
        <f t="shared" si="66"/>
        <v>0</v>
      </c>
      <c r="AF206" s="2">
        <f t="shared" si="67"/>
        <v>110018.69791347353</v>
      </c>
      <c r="AG206" s="62">
        <f>(B206+Q206+Z206)/Dashboard!$I$25</f>
        <v>0.44007479165389413</v>
      </c>
      <c r="AH206" s="20">
        <f t="shared" si="68"/>
        <v>0</v>
      </c>
      <c r="AI206" s="20">
        <f>IF($D$2="JA",Dashboard!$K$26-$AH$11+AH206,Dashboard!$K$26)</f>
        <v>2.3800000000000002E-2</v>
      </c>
      <c r="AJ206" s="27">
        <f>Tabel2[[#This Row],[Schuldrest]]*AI206/12</f>
        <v>218.20375086172251</v>
      </c>
      <c r="AK206" s="20">
        <f>IF($D$2="JA",Dashboard!$K$27-$AH$11+AH206,Dashboard!$K$27)</f>
        <v>2.3800000000000002E-2</v>
      </c>
      <c r="AL206" s="27">
        <f t="shared" si="54"/>
        <v>0</v>
      </c>
      <c r="AM206" s="20">
        <f>IF($D$2="JA",Dashboard!$K$28-$AH$11+AH206,Dashboard!$K$28)</f>
        <v>2.3800000000000002E-2</v>
      </c>
      <c r="AN206" s="27">
        <f t="shared" si="55"/>
        <v>0</v>
      </c>
      <c r="AO206" s="63">
        <f>Tabel2[[#This Row],[Aflossing]]+V206</f>
        <v>564.27325928083155</v>
      </c>
      <c r="AP206" s="63">
        <f t="shared" si="69"/>
        <v>218.20375086172251</v>
      </c>
      <c r="AQ206" s="2">
        <f t="shared" si="56"/>
        <v>249.15353284518869</v>
      </c>
      <c r="AU206" s="20"/>
      <c r="AV206" s="20"/>
    </row>
    <row r="207" spans="1:48">
      <c r="A207" s="71">
        <v>196</v>
      </c>
      <c r="B207" s="77">
        <f t="shared" si="57"/>
        <v>109454.4246541927</v>
      </c>
      <c r="C207" s="73">
        <f>B207/Dashboard!$I$25</f>
        <v>0.43781769861677078</v>
      </c>
      <c r="D207" s="74">
        <f t="shared" si="58"/>
        <v>0</v>
      </c>
      <c r="E207" s="73">
        <f>IF($D$2="JA",Dashboard!$K$26-$D$11+D207,Dashboard!$K$26)</f>
        <v>2.3800000000000002E-2</v>
      </c>
      <c r="F207" s="72">
        <f t="shared" si="59"/>
        <v>217.08460889748221</v>
      </c>
      <c r="G207" s="72">
        <f t="shared" si="70"/>
        <v>565.39240124507194</v>
      </c>
      <c r="H207" s="72">
        <f>IFERROR(-PMT(E207^1/12,Dashboard!$I$30-A207,B207),0)</f>
        <v>782.47701014255415</v>
      </c>
      <c r="I207" s="75">
        <f t="shared" si="60"/>
        <v>782.47701014255415</v>
      </c>
      <c r="J207" s="76">
        <f t="shared" si="71"/>
        <v>111001.35105378515</v>
      </c>
      <c r="K207" s="76">
        <f>J207*Dashboard!$K$26/12</f>
        <v>247.90301735345352</v>
      </c>
      <c r="L207" s="76">
        <f t="shared" si="61"/>
        <v>561.18282522390166</v>
      </c>
      <c r="M207" s="76">
        <f>IF(H207=0,0,IFERROR(-PMT(Dashboard!$K$26^1/12,Dashboard!$I$30,Dashboard!$I$26),0))</f>
        <v>809.08584257735515</v>
      </c>
      <c r="P207" s="59">
        <v>196</v>
      </c>
      <c r="Q207" s="28">
        <f t="shared" si="62"/>
        <v>0</v>
      </c>
      <c r="R207" s="20">
        <f>Q207/Dashboard!$I$25</f>
        <v>0</v>
      </c>
      <c r="S207" s="20">
        <f t="shared" si="63"/>
        <v>0</v>
      </c>
      <c r="T207" s="20">
        <f>IF($D$2="JA",Dashboard!$K$27-$S$11+S207,Dashboard!$K$27)</f>
        <v>2.6800000000000001E-2</v>
      </c>
      <c r="U207" s="27">
        <f t="shared" si="64"/>
        <v>0</v>
      </c>
      <c r="V207" s="26">
        <f>IF(Q207&lt;=1,0,Dashboard!$I$27/Dashboard!$I$30)</f>
        <v>0</v>
      </c>
      <c r="W207" s="28">
        <f>Q207*Dashboard!$K$27/12</f>
        <v>0</v>
      </c>
      <c r="Y207" s="59">
        <v>196</v>
      </c>
      <c r="Z207" s="67">
        <f>Dashboard!$I$28</f>
        <v>0</v>
      </c>
      <c r="AA207" s="64">
        <f>IF(Z207&lt;=1,0,Dashboard!$I$30-Y207)</f>
        <v>0</v>
      </c>
      <c r="AB207" s="64">
        <f t="shared" si="65"/>
        <v>0</v>
      </c>
      <c r="AC207" s="1">
        <f>Dashboard!$K$28</f>
        <v>2.6800000000000001E-2</v>
      </c>
      <c r="AD207" s="28">
        <f t="shared" si="66"/>
        <v>0</v>
      </c>
      <c r="AF207" s="2">
        <f t="shared" si="67"/>
        <v>109454.4246541927</v>
      </c>
      <c r="AG207" s="62">
        <f>(B207+Q207+Z207)/Dashboard!$I$25</f>
        <v>0.43781769861677078</v>
      </c>
      <c r="AH207" s="20">
        <f t="shared" si="68"/>
        <v>0</v>
      </c>
      <c r="AI207" s="20">
        <f>IF($D$2="JA",Dashboard!$K$26-$AH$11+AH207,Dashboard!$K$26)</f>
        <v>2.3800000000000002E-2</v>
      </c>
      <c r="AJ207" s="27">
        <f>Tabel2[[#This Row],[Schuldrest]]*AI207/12</f>
        <v>217.08460889748221</v>
      </c>
      <c r="AK207" s="20">
        <f>IF($D$2="JA",Dashboard!$K$27-$AH$11+AH207,Dashboard!$K$27)</f>
        <v>2.3800000000000002E-2</v>
      </c>
      <c r="AL207" s="27">
        <f t="shared" si="54"/>
        <v>0</v>
      </c>
      <c r="AM207" s="20">
        <f>IF($D$2="JA",Dashboard!$K$28-$AH$11+AH207,Dashboard!$K$28)</f>
        <v>2.3800000000000002E-2</v>
      </c>
      <c r="AN207" s="27">
        <f t="shared" si="55"/>
        <v>0</v>
      </c>
      <c r="AO207" s="63">
        <f>Tabel2[[#This Row],[Aflossing]]+V207</f>
        <v>565.39240124507194</v>
      </c>
      <c r="AP207" s="63">
        <f t="shared" si="69"/>
        <v>217.08460889748221</v>
      </c>
      <c r="AQ207" s="2">
        <f t="shared" si="56"/>
        <v>247.90301735345352</v>
      </c>
      <c r="AU207" s="20"/>
      <c r="AV207" s="20"/>
    </row>
    <row r="208" spans="1:48">
      <c r="A208" s="71">
        <v>197</v>
      </c>
      <c r="B208" s="77">
        <f t="shared" si="57"/>
        <v>108889.03225294763</v>
      </c>
      <c r="C208" s="73">
        <f>B208/Dashboard!$I$25</f>
        <v>0.43555612901179053</v>
      </c>
      <c r="D208" s="74">
        <f t="shared" si="58"/>
        <v>0</v>
      </c>
      <c r="E208" s="73">
        <f>IF($D$2="JA",Dashboard!$K$26-$D$11+D208,Dashboard!$K$26)</f>
        <v>2.3800000000000002E-2</v>
      </c>
      <c r="F208" s="72">
        <f t="shared" si="59"/>
        <v>215.96324730167944</v>
      </c>
      <c r="G208" s="72">
        <f t="shared" si="70"/>
        <v>566.51376284087462</v>
      </c>
      <c r="H208" s="72">
        <f>IFERROR(-PMT(E208^1/12,Dashboard!$I$30-A208,B208),0)</f>
        <v>782.47701014255404</v>
      </c>
      <c r="I208" s="75">
        <f t="shared" si="60"/>
        <v>782.47701014255404</v>
      </c>
      <c r="J208" s="76">
        <f t="shared" si="71"/>
        <v>110440.16822856125</v>
      </c>
      <c r="K208" s="76">
        <f>J208*Dashboard!$K$26/12</f>
        <v>246.64970904378677</v>
      </c>
      <c r="L208" s="76">
        <f t="shared" si="61"/>
        <v>562.43613353356841</v>
      </c>
      <c r="M208" s="76">
        <f>IF(H208=0,0,IFERROR(-PMT(Dashboard!$K$26^1/12,Dashboard!$I$30,Dashboard!$I$26),0))</f>
        <v>809.08584257735515</v>
      </c>
      <c r="P208" s="59">
        <v>197</v>
      </c>
      <c r="Q208" s="28">
        <f t="shared" si="62"/>
        <v>0</v>
      </c>
      <c r="R208" s="20">
        <f>Q208/Dashboard!$I$25</f>
        <v>0</v>
      </c>
      <c r="S208" s="20">
        <f t="shared" si="63"/>
        <v>0</v>
      </c>
      <c r="T208" s="20">
        <f>IF($D$2="JA",Dashboard!$K$27-$S$11+S208,Dashboard!$K$27)</f>
        <v>2.6800000000000001E-2</v>
      </c>
      <c r="U208" s="27">
        <f t="shared" si="64"/>
        <v>0</v>
      </c>
      <c r="V208" s="26">
        <f>IF(Q208&lt;=1,0,Dashboard!$I$27/Dashboard!$I$30)</f>
        <v>0</v>
      </c>
      <c r="W208" s="28">
        <f>Q208*Dashboard!$K$27/12</f>
        <v>0</v>
      </c>
      <c r="Y208" s="59">
        <v>197</v>
      </c>
      <c r="Z208" s="67">
        <f>Dashboard!$I$28</f>
        <v>0</v>
      </c>
      <c r="AA208" s="64">
        <f>IF(Z208&lt;=1,0,Dashboard!$I$30-Y208)</f>
        <v>0</v>
      </c>
      <c r="AB208" s="64">
        <f t="shared" si="65"/>
        <v>0</v>
      </c>
      <c r="AC208" s="1">
        <f>Dashboard!$K$28</f>
        <v>2.6800000000000001E-2</v>
      </c>
      <c r="AD208" s="28">
        <f t="shared" si="66"/>
        <v>0</v>
      </c>
      <c r="AF208" s="2">
        <f t="shared" si="67"/>
        <v>108889.03225294763</v>
      </c>
      <c r="AG208" s="62">
        <f>(B208+Q208+Z208)/Dashboard!$I$25</f>
        <v>0.43555612901179053</v>
      </c>
      <c r="AH208" s="20">
        <f t="shared" si="68"/>
        <v>0</v>
      </c>
      <c r="AI208" s="20">
        <f>IF($D$2="JA",Dashboard!$K$26-$AH$11+AH208,Dashboard!$K$26)</f>
        <v>2.3800000000000002E-2</v>
      </c>
      <c r="AJ208" s="27">
        <f>Tabel2[[#This Row],[Schuldrest]]*AI208/12</f>
        <v>215.96324730167944</v>
      </c>
      <c r="AK208" s="20">
        <f>IF($D$2="JA",Dashboard!$K$27-$AH$11+AH208,Dashboard!$K$27)</f>
        <v>2.3800000000000002E-2</v>
      </c>
      <c r="AL208" s="27">
        <f t="shared" si="54"/>
        <v>0</v>
      </c>
      <c r="AM208" s="20">
        <f>IF($D$2="JA",Dashboard!$K$28-$AH$11+AH208,Dashboard!$K$28)</f>
        <v>2.3800000000000002E-2</v>
      </c>
      <c r="AN208" s="27">
        <f t="shared" si="55"/>
        <v>0</v>
      </c>
      <c r="AO208" s="63">
        <f>Tabel2[[#This Row],[Aflossing]]+V208</f>
        <v>566.51376284087462</v>
      </c>
      <c r="AP208" s="63">
        <f t="shared" si="69"/>
        <v>215.96324730167944</v>
      </c>
      <c r="AQ208" s="2">
        <f t="shared" si="56"/>
        <v>246.64970904378677</v>
      </c>
      <c r="AU208" s="20"/>
      <c r="AV208" s="20"/>
    </row>
    <row r="209" spans="1:48">
      <c r="A209" s="71">
        <v>198</v>
      </c>
      <c r="B209" s="77">
        <f t="shared" si="57"/>
        <v>108322.51849010676</v>
      </c>
      <c r="C209" s="73">
        <f>B209/Dashboard!$I$25</f>
        <v>0.43329007396042701</v>
      </c>
      <c r="D209" s="74">
        <f t="shared" si="58"/>
        <v>0</v>
      </c>
      <c r="E209" s="73">
        <f>IF($D$2="JA",Dashboard!$K$26-$D$11+D209,Dashboard!$K$26)</f>
        <v>2.3800000000000002E-2</v>
      </c>
      <c r="F209" s="72">
        <f t="shared" si="59"/>
        <v>214.83966167204508</v>
      </c>
      <c r="G209" s="72">
        <f t="shared" si="70"/>
        <v>567.63734847050898</v>
      </c>
      <c r="H209" s="72">
        <f>IFERROR(-PMT(E209^1/12,Dashboard!$I$30-A209,B209),0)</f>
        <v>782.47701014255404</v>
      </c>
      <c r="I209" s="75">
        <f t="shared" si="60"/>
        <v>782.47701014255404</v>
      </c>
      <c r="J209" s="76">
        <f t="shared" si="71"/>
        <v>109877.73209502768</v>
      </c>
      <c r="K209" s="76">
        <f>J209*Dashboard!$K$26/12</f>
        <v>245.39360167889515</v>
      </c>
      <c r="L209" s="76">
        <f t="shared" si="61"/>
        <v>563.69224089846</v>
      </c>
      <c r="M209" s="76">
        <f>IF(H209=0,0,IFERROR(-PMT(Dashboard!$K$26^1/12,Dashboard!$I$30,Dashboard!$I$26),0))</f>
        <v>809.08584257735515</v>
      </c>
      <c r="P209" s="59">
        <v>198</v>
      </c>
      <c r="Q209" s="28">
        <f t="shared" si="62"/>
        <v>0</v>
      </c>
      <c r="R209" s="20">
        <f>Q209/Dashboard!$I$25</f>
        <v>0</v>
      </c>
      <c r="S209" s="20">
        <f t="shared" si="63"/>
        <v>0</v>
      </c>
      <c r="T209" s="20">
        <f>IF($D$2="JA",Dashboard!$K$27-$S$11+S209,Dashboard!$K$27)</f>
        <v>2.6800000000000001E-2</v>
      </c>
      <c r="U209" s="27">
        <f t="shared" si="64"/>
        <v>0</v>
      </c>
      <c r="V209" s="26">
        <f>IF(Q209&lt;=1,0,Dashboard!$I$27/Dashboard!$I$30)</f>
        <v>0</v>
      </c>
      <c r="W209" s="28">
        <f>Q209*Dashboard!$K$27/12</f>
        <v>0</v>
      </c>
      <c r="Y209" s="59">
        <v>198</v>
      </c>
      <c r="Z209" s="67">
        <f>Dashboard!$I$28</f>
        <v>0</v>
      </c>
      <c r="AA209" s="64">
        <f>IF(Z209&lt;=1,0,Dashboard!$I$30-Y209)</f>
        <v>0</v>
      </c>
      <c r="AB209" s="64">
        <f t="shared" si="65"/>
        <v>0</v>
      </c>
      <c r="AC209" s="1">
        <f>Dashboard!$K$28</f>
        <v>2.6800000000000001E-2</v>
      </c>
      <c r="AD209" s="28">
        <f t="shared" si="66"/>
        <v>0</v>
      </c>
      <c r="AF209" s="2">
        <f t="shared" si="67"/>
        <v>108322.51849010676</v>
      </c>
      <c r="AG209" s="62">
        <f>(B209+Q209+Z209)/Dashboard!$I$25</f>
        <v>0.43329007396042701</v>
      </c>
      <c r="AH209" s="20">
        <f t="shared" si="68"/>
        <v>0</v>
      </c>
      <c r="AI209" s="20">
        <f>IF($D$2="JA",Dashboard!$K$26-$AH$11+AH209,Dashboard!$K$26)</f>
        <v>2.3800000000000002E-2</v>
      </c>
      <c r="AJ209" s="27">
        <f>Tabel2[[#This Row],[Schuldrest]]*AI209/12</f>
        <v>214.83966167204508</v>
      </c>
      <c r="AK209" s="20">
        <f>IF($D$2="JA",Dashboard!$K$27-$AH$11+AH209,Dashboard!$K$27)</f>
        <v>2.3800000000000002E-2</v>
      </c>
      <c r="AL209" s="27">
        <f t="shared" si="54"/>
        <v>0</v>
      </c>
      <c r="AM209" s="20">
        <f>IF($D$2="JA",Dashboard!$K$28-$AH$11+AH209,Dashboard!$K$28)</f>
        <v>2.3800000000000002E-2</v>
      </c>
      <c r="AN209" s="27">
        <f t="shared" si="55"/>
        <v>0</v>
      </c>
      <c r="AO209" s="63">
        <f>Tabel2[[#This Row],[Aflossing]]+V209</f>
        <v>567.63734847050898</v>
      </c>
      <c r="AP209" s="63">
        <f t="shared" si="69"/>
        <v>214.83966167204508</v>
      </c>
      <c r="AQ209" s="2">
        <f t="shared" si="56"/>
        <v>245.39360167889515</v>
      </c>
      <c r="AU209" s="20"/>
      <c r="AV209" s="20"/>
    </row>
    <row r="210" spans="1:48">
      <c r="A210" s="71">
        <v>199</v>
      </c>
      <c r="B210" s="77">
        <f t="shared" si="57"/>
        <v>107754.88114163624</v>
      </c>
      <c r="C210" s="73">
        <f>B210/Dashboard!$I$25</f>
        <v>0.43101952456654496</v>
      </c>
      <c r="D210" s="74">
        <f t="shared" si="58"/>
        <v>0</v>
      </c>
      <c r="E210" s="73">
        <f>IF($D$2="JA",Dashboard!$K$26-$D$11+D210,Dashboard!$K$26)</f>
        <v>2.3800000000000002E-2</v>
      </c>
      <c r="F210" s="72">
        <f t="shared" si="59"/>
        <v>213.71384759757856</v>
      </c>
      <c r="G210" s="72">
        <f t="shared" si="70"/>
        <v>568.76316254497556</v>
      </c>
      <c r="H210" s="72">
        <f>IFERROR(-PMT(E210^1/12,Dashboard!$I$30-A210,B210),0)</f>
        <v>782.47701014255415</v>
      </c>
      <c r="I210" s="75">
        <f t="shared" si="60"/>
        <v>782.47701014255415</v>
      </c>
      <c r="J210" s="76">
        <f t="shared" si="71"/>
        <v>109314.03985412922</v>
      </c>
      <c r="K210" s="76">
        <f>J210*Dashboard!$K$26/12</f>
        <v>244.13468900755527</v>
      </c>
      <c r="L210" s="76">
        <f t="shared" si="61"/>
        <v>564.95115356979989</v>
      </c>
      <c r="M210" s="76">
        <f>IF(H210=0,0,IFERROR(-PMT(Dashboard!$K$26^1/12,Dashboard!$I$30,Dashboard!$I$26),0))</f>
        <v>809.08584257735515</v>
      </c>
      <c r="P210" s="59">
        <v>199</v>
      </c>
      <c r="Q210" s="28">
        <f t="shared" si="62"/>
        <v>0</v>
      </c>
      <c r="R210" s="20">
        <f>Q210/Dashboard!$I$25</f>
        <v>0</v>
      </c>
      <c r="S210" s="20">
        <f t="shared" si="63"/>
        <v>0</v>
      </c>
      <c r="T210" s="20">
        <f>IF($D$2="JA",Dashboard!$K$27-$S$11+S210,Dashboard!$K$27)</f>
        <v>2.6800000000000001E-2</v>
      </c>
      <c r="U210" s="27">
        <f t="shared" si="64"/>
        <v>0</v>
      </c>
      <c r="V210" s="26">
        <f>IF(Q210&lt;=1,0,Dashboard!$I$27/Dashboard!$I$30)</f>
        <v>0</v>
      </c>
      <c r="W210" s="28">
        <f>Q210*Dashboard!$K$27/12</f>
        <v>0</v>
      </c>
      <c r="Y210" s="59">
        <v>199</v>
      </c>
      <c r="Z210" s="67">
        <f>Dashboard!$I$28</f>
        <v>0</v>
      </c>
      <c r="AA210" s="64">
        <f>IF(Z210&lt;=1,0,Dashboard!$I$30-Y210)</f>
        <v>0</v>
      </c>
      <c r="AB210" s="64">
        <f t="shared" si="65"/>
        <v>0</v>
      </c>
      <c r="AC210" s="1">
        <f>Dashboard!$K$28</f>
        <v>2.6800000000000001E-2</v>
      </c>
      <c r="AD210" s="28">
        <f t="shared" si="66"/>
        <v>0</v>
      </c>
      <c r="AF210" s="2">
        <f t="shared" si="67"/>
        <v>107754.88114163624</v>
      </c>
      <c r="AG210" s="62">
        <f>(B210+Q210+Z210)/Dashboard!$I$25</f>
        <v>0.43101952456654496</v>
      </c>
      <c r="AH210" s="20">
        <f t="shared" si="68"/>
        <v>0</v>
      </c>
      <c r="AI210" s="20">
        <f>IF($D$2="JA",Dashboard!$K$26-$AH$11+AH210,Dashboard!$K$26)</f>
        <v>2.3800000000000002E-2</v>
      </c>
      <c r="AJ210" s="27">
        <f>Tabel2[[#This Row],[Schuldrest]]*AI210/12</f>
        <v>213.71384759757856</v>
      </c>
      <c r="AK210" s="20">
        <f>IF($D$2="JA",Dashboard!$K$27-$AH$11+AH210,Dashboard!$K$27)</f>
        <v>2.3800000000000002E-2</v>
      </c>
      <c r="AL210" s="27">
        <f t="shared" si="54"/>
        <v>0</v>
      </c>
      <c r="AM210" s="20">
        <f>IF($D$2="JA",Dashboard!$K$28-$AH$11+AH210,Dashboard!$K$28)</f>
        <v>2.3800000000000002E-2</v>
      </c>
      <c r="AN210" s="27">
        <f t="shared" si="55"/>
        <v>0</v>
      </c>
      <c r="AO210" s="63">
        <f>Tabel2[[#This Row],[Aflossing]]+V210</f>
        <v>568.76316254497556</v>
      </c>
      <c r="AP210" s="63">
        <f t="shared" si="69"/>
        <v>213.71384759757856</v>
      </c>
      <c r="AQ210" s="2">
        <f t="shared" si="56"/>
        <v>244.13468900755527</v>
      </c>
      <c r="AU210" s="20"/>
      <c r="AV210" s="20"/>
    </row>
    <row r="211" spans="1:48">
      <c r="A211" s="71">
        <v>200</v>
      </c>
      <c r="B211" s="77">
        <f t="shared" si="57"/>
        <v>107186.11797909127</v>
      </c>
      <c r="C211" s="73">
        <f>B211/Dashboard!$I$25</f>
        <v>0.42874447191636511</v>
      </c>
      <c r="D211" s="74">
        <f t="shared" si="58"/>
        <v>0</v>
      </c>
      <c r="E211" s="73">
        <f>IF($D$2="JA",Dashboard!$K$26-$D$11+D211,Dashboard!$K$26)</f>
        <v>2.3800000000000002E-2</v>
      </c>
      <c r="F211" s="72">
        <f t="shared" si="59"/>
        <v>212.58580065853104</v>
      </c>
      <c r="G211" s="72">
        <f t="shared" si="70"/>
        <v>569.89120948402285</v>
      </c>
      <c r="H211" s="72">
        <f>IFERROR(-PMT(E211^1/12,Dashboard!$I$30-A211,B211),0)</f>
        <v>782.47701014255392</v>
      </c>
      <c r="I211" s="75">
        <f t="shared" si="60"/>
        <v>782.47701014255392</v>
      </c>
      <c r="J211" s="76">
        <f t="shared" si="71"/>
        <v>108749.08870055943</v>
      </c>
      <c r="K211" s="76">
        <f>J211*Dashboard!$K$26/12</f>
        <v>242.87296476458275</v>
      </c>
      <c r="L211" s="76">
        <f t="shared" si="61"/>
        <v>566.21287781277238</v>
      </c>
      <c r="M211" s="76">
        <f>IF(H211=0,0,IFERROR(-PMT(Dashboard!$K$26^1/12,Dashboard!$I$30,Dashboard!$I$26),0))</f>
        <v>809.08584257735515</v>
      </c>
      <c r="P211" s="59">
        <v>200</v>
      </c>
      <c r="Q211" s="28">
        <f t="shared" si="62"/>
        <v>0</v>
      </c>
      <c r="R211" s="20">
        <f>Q211/Dashboard!$I$25</f>
        <v>0</v>
      </c>
      <c r="S211" s="20">
        <f t="shared" si="63"/>
        <v>0</v>
      </c>
      <c r="T211" s="20">
        <f>IF($D$2="JA",Dashboard!$K$27-$S$11+S211,Dashboard!$K$27)</f>
        <v>2.6800000000000001E-2</v>
      </c>
      <c r="U211" s="27">
        <f t="shared" si="64"/>
        <v>0</v>
      </c>
      <c r="V211" s="26">
        <f>IF(Q211&lt;=1,0,Dashboard!$I$27/Dashboard!$I$30)</f>
        <v>0</v>
      </c>
      <c r="W211" s="28">
        <f>Q211*Dashboard!$K$27/12</f>
        <v>0</v>
      </c>
      <c r="Y211" s="59">
        <v>200</v>
      </c>
      <c r="Z211" s="67">
        <f>Dashboard!$I$28</f>
        <v>0</v>
      </c>
      <c r="AA211" s="64">
        <f>IF(Z211&lt;=1,0,Dashboard!$I$30-Y211)</f>
        <v>0</v>
      </c>
      <c r="AB211" s="64">
        <f t="shared" si="65"/>
        <v>0</v>
      </c>
      <c r="AC211" s="1">
        <f>Dashboard!$K$28</f>
        <v>2.6800000000000001E-2</v>
      </c>
      <c r="AD211" s="28">
        <f t="shared" si="66"/>
        <v>0</v>
      </c>
      <c r="AF211" s="2">
        <f t="shared" si="67"/>
        <v>107186.11797909127</v>
      </c>
      <c r="AG211" s="62">
        <f>(B211+Q211+Z211)/Dashboard!$I$25</f>
        <v>0.42874447191636511</v>
      </c>
      <c r="AH211" s="20">
        <f t="shared" si="68"/>
        <v>0</v>
      </c>
      <c r="AI211" s="20">
        <f>IF($D$2="JA",Dashboard!$K$26-$AH$11+AH211,Dashboard!$K$26)</f>
        <v>2.3800000000000002E-2</v>
      </c>
      <c r="AJ211" s="27">
        <f>Tabel2[[#This Row],[Schuldrest]]*AI211/12</f>
        <v>212.58580065853104</v>
      </c>
      <c r="AK211" s="20">
        <f>IF($D$2="JA",Dashboard!$K$27-$AH$11+AH211,Dashboard!$K$27)</f>
        <v>2.3800000000000002E-2</v>
      </c>
      <c r="AL211" s="27">
        <f t="shared" si="54"/>
        <v>0</v>
      </c>
      <c r="AM211" s="20">
        <f>IF($D$2="JA",Dashboard!$K$28-$AH$11+AH211,Dashboard!$K$28)</f>
        <v>2.3800000000000002E-2</v>
      </c>
      <c r="AN211" s="27">
        <f t="shared" si="55"/>
        <v>0</v>
      </c>
      <c r="AO211" s="63">
        <f>Tabel2[[#This Row],[Aflossing]]+V211</f>
        <v>569.89120948402285</v>
      </c>
      <c r="AP211" s="63">
        <f t="shared" si="69"/>
        <v>212.58580065853104</v>
      </c>
      <c r="AQ211" s="2">
        <f t="shared" si="56"/>
        <v>242.87296476458275</v>
      </c>
      <c r="AU211" s="20"/>
      <c r="AV211" s="20"/>
    </row>
    <row r="212" spans="1:48">
      <c r="A212" s="71">
        <v>201</v>
      </c>
      <c r="B212" s="77">
        <f t="shared" si="57"/>
        <v>106616.22676960725</v>
      </c>
      <c r="C212" s="73">
        <f>B212/Dashboard!$I$25</f>
        <v>0.42646490707842899</v>
      </c>
      <c r="D212" s="74">
        <f t="shared" si="58"/>
        <v>0</v>
      </c>
      <c r="E212" s="73">
        <f>IF($D$2="JA",Dashboard!$K$26-$D$11+D212,Dashboard!$K$26)</f>
        <v>2.3800000000000002E-2</v>
      </c>
      <c r="F212" s="72">
        <f t="shared" si="59"/>
        <v>211.45551642638773</v>
      </c>
      <c r="G212" s="72">
        <f t="shared" si="70"/>
        <v>571.02149371616633</v>
      </c>
      <c r="H212" s="72">
        <f>IFERROR(-PMT(E212^1/12,Dashboard!$I$30-A212,B212),0)</f>
        <v>782.47701014255404</v>
      </c>
      <c r="I212" s="75">
        <f t="shared" si="60"/>
        <v>782.47701014255404</v>
      </c>
      <c r="J212" s="76">
        <f t="shared" si="71"/>
        <v>108182.87582274666</v>
      </c>
      <c r="K212" s="76">
        <f>J212*Dashboard!$K$26/12</f>
        <v>241.60842267080088</v>
      </c>
      <c r="L212" s="76">
        <f t="shared" si="61"/>
        <v>567.47741990655425</v>
      </c>
      <c r="M212" s="76">
        <f>IF(H212=0,0,IFERROR(-PMT(Dashboard!$K$26^1/12,Dashboard!$I$30,Dashboard!$I$26),0))</f>
        <v>809.08584257735515</v>
      </c>
      <c r="P212" s="59">
        <v>201</v>
      </c>
      <c r="Q212" s="28">
        <f t="shared" si="62"/>
        <v>0</v>
      </c>
      <c r="R212" s="20">
        <f>Q212/Dashboard!$I$25</f>
        <v>0</v>
      </c>
      <c r="S212" s="20">
        <f t="shared" si="63"/>
        <v>0</v>
      </c>
      <c r="T212" s="20">
        <f>IF($D$2="JA",Dashboard!$K$27-$S$11+S212,Dashboard!$K$27)</f>
        <v>2.6800000000000001E-2</v>
      </c>
      <c r="U212" s="27">
        <f t="shared" si="64"/>
        <v>0</v>
      </c>
      <c r="V212" s="26">
        <f>IF(Q212&lt;=1,0,Dashboard!$I$27/Dashboard!$I$30)</f>
        <v>0</v>
      </c>
      <c r="W212" s="28">
        <f>Q212*Dashboard!$K$27/12</f>
        <v>0</v>
      </c>
      <c r="Y212" s="59">
        <v>201</v>
      </c>
      <c r="Z212" s="67">
        <f>Dashboard!$I$28</f>
        <v>0</v>
      </c>
      <c r="AA212" s="64">
        <f>IF(Z212&lt;=1,0,Dashboard!$I$30-Y212)</f>
        <v>0</v>
      </c>
      <c r="AB212" s="64">
        <f t="shared" si="65"/>
        <v>0</v>
      </c>
      <c r="AC212" s="1">
        <f>Dashboard!$K$28</f>
        <v>2.6800000000000001E-2</v>
      </c>
      <c r="AD212" s="28">
        <f t="shared" si="66"/>
        <v>0</v>
      </c>
      <c r="AF212" s="2">
        <f t="shared" si="67"/>
        <v>106616.22676960725</v>
      </c>
      <c r="AG212" s="62">
        <f>(B212+Q212+Z212)/Dashboard!$I$25</f>
        <v>0.42646490707842899</v>
      </c>
      <c r="AH212" s="20">
        <f t="shared" si="68"/>
        <v>0</v>
      </c>
      <c r="AI212" s="20">
        <f>IF($D$2="JA",Dashboard!$K$26-$AH$11+AH212,Dashboard!$K$26)</f>
        <v>2.3800000000000002E-2</v>
      </c>
      <c r="AJ212" s="27">
        <f>Tabel2[[#This Row],[Schuldrest]]*AI212/12</f>
        <v>211.45551642638773</v>
      </c>
      <c r="AK212" s="20">
        <f>IF($D$2="JA",Dashboard!$K$27-$AH$11+AH212,Dashboard!$K$27)</f>
        <v>2.3800000000000002E-2</v>
      </c>
      <c r="AL212" s="27">
        <f t="shared" si="54"/>
        <v>0</v>
      </c>
      <c r="AM212" s="20">
        <f>IF($D$2="JA",Dashboard!$K$28-$AH$11+AH212,Dashboard!$K$28)</f>
        <v>2.3800000000000002E-2</v>
      </c>
      <c r="AN212" s="27">
        <f t="shared" si="55"/>
        <v>0</v>
      </c>
      <c r="AO212" s="63">
        <f>Tabel2[[#This Row],[Aflossing]]+V212</f>
        <v>571.02149371616633</v>
      </c>
      <c r="AP212" s="63">
        <f t="shared" si="69"/>
        <v>211.45551642638773</v>
      </c>
      <c r="AQ212" s="2">
        <f t="shared" si="56"/>
        <v>241.60842267080088</v>
      </c>
      <c r="AU212" s="20"/>
      <c r="AV212" s="20"/>
    </row>
    <row r="213" spans="1:48">
      <c r="A213" s="71">
        <v>202</v>
      </c>
      <c r="B213" s="77">
        <f t="shared" si="57"/>
        <v>106045.20527589109</v>
      </c>
      <c r="C213" s="73">
        <f>B213/Dashboard!$I$25</f>
        <v>0.42418082110356436</v>
      </c>
      <c r="D213" s="74">
        <f t="shared" si="58"/>
        <v>0</v>
      </c>
      <c r="E213" s="73">
        <f>IF($D$2="JA",Dashboard!$K$26-$D$11+D213,Dashboard!$K$26)</f>
        <v>2.3800000000000002E-2</v>
      </c>
      <c r="F213" s="72">
        <f t="shared" si="59"/>
        <v>210.32299046385069</v>
      </c>
      <c r="G213" s="72">
        <f t="shared" si="70"/>
        <v>572.15401967870343</v>
      </c>
      <c r="H213" s="72">
        <f>IFERROR(-PMT(E213^1/12,Dashboard!$I$30-A213,B213),0)</f>
        <v>782.47701014255415</v>
      </c>
      <c r="I213" s="75">
        <f t="shared" si="60"/>
        <v>782.47701014255415</v>
      </c>
      <c r="J213" s="76">
        <f t="shared" si="71"/>
        <v>107615.3984028401</v>
      </c>
      <c r="K213" s="76">
        <f>J213*Dashboard!$K$26/12</f>
        <v>240.34105643300958</v>
      </c>
      <c r="L213" s="76">
        <f t="shared" si="61"/>
        <v>568.74478614434554</v>
      </c>
      <c r="M213" s="76">
        <f>IF(H213=0,0,IFERROR(-PMT(Dashboard!$K$26^1/12,Dashboard!$I$30,Dashboard!$I$26),0))</f>
        <v>809.08584257735515</v>
      </c>
      <c r="P213" s="59">
        <v>202</v>
      </c>
      <c r="Q213" s="28">
        <f t="shared" si="62"/>
        <v>0</v>
      </c>
      <c r="R213" s="20">
        <f>Q213/Dashboard!$I$25</f>
        <v>0</v>
      </c>
      <c r="S213" s="20">
        <f t="shared" si="63"/>
        <v>0</v>
      </c>
      <c r="T213" s="20">
        <f>IF($D$2="JA",Dashboard!$K$27-$S$11+S213,Dashboard!$K$27)</f>
        <v>2.6800000000000001E-2</v>
      </c>
      <c r="U213" s="27">
        <f t="shared" si="64"/>
        <v>0</v>
      </c>
      <c r="V213" s="26">
        <f>IF(Q213&lt;=1,0,Dashboard!$I$27/Dashboard!$I$30)</f>
        <v>0</v>
      </c>
      <c r="W213" s="28">
        <f>Q213*Dashboard!$K$27/12</f>
        <v>0</v>
      </c>
      <c r="Y213" s="59">
        <v>202</v>
      </c>
      <c r="Z213" s="67">
        <f>Dashboard!$I$28</f>
        <v>0</v>
      </c>
      <c r="AA213" s="64">
        <f>IF(Z213&lt;=1,0,Dashboard!$I$30-Y213)</f>
        <v>0</v>
      </c>
      <c r="AB213" s="64">
        <f t="shared" si="65"/>
        <v>0</v>
      </c>
      <c r="AC213" s="1">
        <f>Dashboard!$K$28</f>
        <v>2.6800000000000001E-2</v>
      </c>
      <c r="AD213" s="28">
        <f t="shared" si="66"/>
        <v>0</v>
      </c>
      <c r="AF213" s="2">
        <f t="shared" si="67"/>
        <v>106045.20527589109</v>
      </c>
      <c r="AG213" s="62">
        <f>(B213+Q213+Z213)/Dashboard!$I$25</f>
        <v>0.42418082110356436</v>
      </c>
      <c r="AH213" s="20">
        <f t="shared" si="68"/>
        <v>0</v>
      </c>
      <c r="AI213" s="20">
        <f>IF($D$2="JA",Dashboard!$K$26-$AH$11+AH213,Dashboard!$K$26)</f>
        <v>2.3800000000000002E-2</v>
      </c>
      <c r="AJ213" s="27">
        <f>Tabel2[[#This Row],[Schuldrest]]*AI213/12</f>
        <v>210.32299046385069</v>
      </c>
      <c r="AK213" s="20">
        <f>IF($D$2="JA",Dashboard!$K$27-$AH$11+AH213,Dashboard!$K$27)</f>
        <v>2.3800000000000002E-2</v>
      </c>
      <c r="AL213" s="27">
        <f t="shared" si="54"/>
        <v>0</v>
      </c>
      <c r="AM213" s="20">
        <f>IF($D$2="JA",Dashboard!$K$28-$AH$11+AH213,Dashboard!$K$28)</f>
        <v>2.3800000000000002E-2</v>
      </c>
      <c r="AN213" s="27">
        <f t="shared" si="55"/>
        <v>0</v>
      </c>
      <c r="AO213" s="63">
        <f>Tabel2[[#This Row],[Aflossing]]+V213</f>
        <v>572.15401967870343</v>
      </c>
      <c r="AP213" s="63">
        <f t="shared" si="69"/>
        <v>210.32299046385069</v>
      </c>
      <c r="AQ213" s="2">
        <f t="shared" si="56"/>
        <v>240.34105643300958</v>
      </c>
      <c r="AU213" s="20"/>
      <c r="AV213" s="20"/>
    </row>
    <row r="214" spans="1:48">
      <c r="A214" s="71">
        <v>203</v>
      </c>
      <c r="B214" s="77">
        <f t="shared" si="57"/>
        <v>105473.05125621238</v>
      </c>
      <c r="C214" s="73">
        <f>B214/Dashboard!$I$25</f>
        <v>0.42189220502484953</v>
      </c>
      <c r="D214" s="74">
        <f t="shared" si="58"/>
        <v>0</v>
      </c>
      <c r="E214" s="73">
        <f>IF($D$2="JA",Dashboard!$K$26-$D$11+D214,Dashboard!$K$26)</f>
        <v>2.3800000000000002E-2</v>
      </c>
      <c r="F214" s="72">
        <f t="shared" si="59"/>
        <v>209.18821832482124</v>
      </c>
      <c r="G214" s="72">
        <f t="shared" si="70"/>
        <v>573.28879181773289</v>
      </c>
      <c r="H214" s="72">
        <f>IFERROR(-PMT(E214^1/12,Dashboard!$I$30-A214,B214),0)</f>
        <v>782.47701014255415</v>
      </c>
      <c r="I214" s="75">
        <f t="shared" si="60"/>
        <v>782.47701014255415</v>
      </c>
      <c r="J214" s="76">
        <f t="shared" si="71"/>
        <v>107046.65361669575</v>
      </c>
      <c r="K214" s="76">
        <f>J214*Dashboard!$K$26/12</f>
        <v>239.07085974395386</v>
      </c>
      <c r="L214" s="76">
        <f t="shared" si="61"/>
        <v>570.01498283340129</v>
      </c>
      <c r="M214" s="76">
        <f>IF(H214=0,0,IFERROR(-PMT(Dashboard!$K$26^1/12,Dashboard!$I$30,Dashboard!$I$26),0))</f>
        <v>809.08584257735515</v>
      </c>
      <c r="P214" s="59">
        <v>203</v>
      </c>
      <c r="Q214" s="28">
        <f t="shared" si="62"/>
        <v>0</v>
      </c>
      <c r="R214" s="20">
        <f>Q214/Dashboard!$I$25</f>
        <v>0</v>
      </c>
      <c r="S214" s="20">
        <f t="shared" si="63"/>
        <v>0</v>
      </c>
      <c r="T214" s="20">
        <f>IF($D$2="JA",Dashboard!$K$27-$S$11+S214,Dashboard!$K$27)</f>
        <v>2.6800000000000001E-2</v>
      </c>
      <c r="U214" s="27">
        <f t="shared" si="64"/>
        <v>0</v>
      </c>
      <c r="V214" s="26">
        <f>IF(Q214&lt;=1,0,Dashboard!$I$27/Dashboard!$I$30)</f>
        <v>0</v>
      </c>
      <c r="W214" s="28">
        <f>Q214*Dashboard!$K$27/12</f>
        <v>0</v>
      </c>
      <c r="Y214" s="59">
        <v>203</v>
      </c>
      <c r="Z214" s="67">
        <f>Dashboard!$I$28</f>
        <v>0</v>
      </c>
      <c r="AA214" s="64">
        <f>IF(Z214&lt;=1,0,Dashboard!$I$30-Y214)</f>
        <v>0</v>
      </c>
      <c r="AB214" s="64">
        <f t="shared" si="65"/>
        <v>0</v>
      </c>
      <c r="AC214" s="1">
        <f>Dashboard!$K$28</f>
        <v>2.6800000000000001E-2</v>
      </c>
      <c r="AD214" s="28">
        <f t="shared" si="66"/>
        <v>0</v>
      </c>
      <c r="AF214" s="2">
        <f t="shared" si="67"/>
        <v>105473.05125621238</v>
      </c>
      <c r="AG214" s="62">
        <f>(B214+Q214+Z214)/Dashboard!$I$25</f>
        <v>0.42189220502484953</v>
      </c>
      <c r="AH214" s="20">
        <f t="shared" si="68"/>
        <v>0</v>
      </c>
      <c r="AI214" s="20">
        <f>IF($D$2="JA",Dashboard!$K$26-$AH$11+AH214,Dashboard!$K$26)</f>
        <v>2.3800000000000002E-2</v>
      </c>
      <c r="AJ214" s="27">
        <f>Tabel2[[#This Row],[Schuldrest]]*AI214/12</f>
        <v>209.18821832482124</v>
      </c>
      <c r="AK214" s="20">
        <f>IF($D$2="JA",Dashboard!$K$27-$AH$11+AH214,Dashboard!$K$27)</f>
        <v>2.3800000000000002E-2</v>
      </c>
      <c r="AL214" s="27">
        <f t="shared" si="54"/>
        <v>0</v>
      </c>
      <c r="AM214" s="20">
        <f>IF($D$2="JA",Dashboard!$K$28-$AH$11+AH214,Dashboard!$K$28)</f>
        <v>2.3800000000000002E-2</v>
      </c>
      <c r="AN214" s="27">
        <f t="shared" si="55"/>
        <v>0</v>
      </c>
      <c r="AO214" s="63">
        <f>Tabel2[[#This Row],[Aflossing]]+V214</f>
        <v>573.28879181773289</v>
      </c>
      <c r="AP214" s="63">
        <f t="shared" si="69"/>
        <v>209.18821832482124</v>
      </c>
      <c r="AQ214" s="2">
        <f t="shared" si="56"/>
        <v>239.07085974395386</v>
      </c>
      <c r="AU214" s="20"/>
      <c r="AV214" s="20"/>
    </row>
    <row r="215" spans="1:48">
      <c r="A215" s="71">
        <v>204</v>
      </c>
      <c r="B215" s="77">
        <f t="shared" si="57"/>
        <v>104899.76246439465</v>
      </c>
      <c r="C215" s="73">
        <f>B215/Dashboard!$I$25</f>
        <v>0.41959904985757857</v>
      </c>
      <c r="D215" s="74">
        <f t="shared" si="58"/>
        <v>0</v>
      </c>
      <c r="E215" s="73">
        <f>IF($D$2="JA",Dashboard!$K$26-$D$11+D215,Dashboard!$K$26)</f>
        <v>2.3800000000000002E-2</v>
      </c>
      <c r="F215" s="72">
        <f t="shared" si="59"/>
        <v>208.05119555438273</v>
      </c>
      <c r="G215" s="72">
        <f t="shared" si="70"/>
        <v>574.42581458817142</v>
      </c>
      <c r="H215" s="72">
        <f>IFERROR(-PMT(E215^1/12,Dashboard!$I$30-A215,B215),0)</f>
        <v>782.47701014255415</v>
      </c>
      <c r="I215" s="75">
        <f t="shared" si="60"/>
        <v>782.47701014255415</v>
      </c>
      <c r="J215" s="76">
        <f t="shared" si="71"/>
        <v>106476.63863386236</v>
      </c>
      <c r="K215" s="76">
        <f>J215*Dashboard!$K$26/12</f>
        <v>237.79782628229259</v>
      </c>
      <c r="L215" s="76">
        <f t="shared" si="61"/>
        <v>571.28801629506256</v>
      </c>
      <c r="M215" s="76">
        <f>IF(H215=0,0,IFERROR(-PMT(Dashboard!$K$26^1/12,Dashboard!$I$30,Dashboard!$I$26),0))</f>
        <v>809.08584257735515</v>
      </c>
      <c r="P215" s="59">
        <v>204</v>
      </c>
      <c r="Q215" s="28">
        <f t="shared" si="62"/>
        <v>0</v>
      </c>
      <c r="R215" s="20">
        <f>Q215/Dashboard!$I$25</f>
        <v>0</v>
      </c>
      <c r="S215" s="20">
        <f t="shared" si="63"/>
        <v>0</v>
      </c>
      <c r="T215" s="20">
        <f>IF($D$2="JA",Dashboard!$K$27-$S$11+S215,Dashboard!$K$27)</f>
        <v>2.6800000000000001E-2</v>
      </c>
      <c r="U215" s="27">
        <f t="shared" si="64"/>
        <v>0</v>
      </c>
      <c r="V215" s="26">
        <f>IF(Q215&lt;=1,0,Dashboard!$I$27/Dashboard!$I$30)</f>
        <v>0</v>
      </c>
      <c r="W215" s="28">
        <f>Q215*Dashboard!$K$27/12</f>
        <v>0</v>
      </c>
      <c r="Y215" s="59">
        <v>204</v>
      </c>
      <c r="Z215" s="67">
        <f>Dashboard!$I$28</f>
        <v>0</v>
      </c>
      <c r="AA215" s="64">
        <f>IF(Z215&lt;=1,0,Dashboard!$I$30-Y215)</f>
        <v>0</v>
      </c>
      <c r="AB215" s="64">
        <f t="shared" si="65"/>
        <v>0</v>
      </c>
      <c r="AC215" s="1">
        <f>Dashboard!$K$28</f>
        <v>2.6800000000000001E-2</v>
      </c>
      <c r="AD215" s="28">
        <f t="shared" si="66"/>
        <v>0</v>
      </c>
      <c r="AF215" s="2">
        <f t="shared" si="67"/>
        <v>104899.76246439465</v>
      </c>
      <c r="AG215" s="62">
        <f>(B215+Q215+Z215)/Dashboard!$I$25</f>
        <v>0.41959904985757857</v>
      </c>
      <c r="AH215" s="20">
        <f t="shared" si="68"/>
        <v>0</v>
      </c>
      <c r="AI215" s="20">
        <f>IF($D$2="JA",Dashboard!$K$26-$AH$11+AH215,Dashboard!$K$26)</f>
        <v>2.3800000000000002E-2</v>
      </c>
      <c r="AJ215" s="27">
        <f>Tabel2[[#This Row],[Schuldrest]]*AI215/12</f>
        <v>208.05119555438273</v>
      </c>
      <c r="AK215" s="20">
        <f>IF($D$2="JA",Dashboard!$K$27-$AH$11+AH215,Dashboard!$K$27)</f>
        <v>2.3800000000000002E-2</v>
      </c>
      <c r="AL215" s="27">
        <f t="shared" si="54"/>
        <v>0</v>
      </c>
      <c r="AM215" s="20">
        <f>IF($D$2="JA",Dashboard!$K$28-$AH$11+AH215,Dashboard!$K$28)</f>
        <v>2.3800000000000002E-2</v>
      </c>
      <c r="AN215" s="27">
        <f t="shared" si="55"/>
        <v>0</v>
      </c>
      <c r="AO215" s="63">
        <f>Tabel2[[#This Row],[Aflossing]]+V215</f>
        <v>574.42581458817142</v>
      </c>
      <c r="AP215" s="63">
        <f t="shared" si="69"/>
        <v>208.05119555438273</v>
      </c>
      <c r="AQ215" s="2">
        <f t="shared" si="56"/>
        <v>237.79782628229259</v>
      </c>
      <c r="AU215" s="20"/>
      <c r="AV215" s="20"/>
    </row>
    <row r="216" spans="1:48">
      <c r="A216" s="71">
        <v>205</v>
      </c>
      <c r="B216" s="77">
        <f t="shared" si="57"/>
        <v>104325.33664980647</v>
      </c>
      <c r="C216" s="73">
        <f>B216/Dashboard!$I$25</f>
        <v>0.41730134659922591</v>
      </c>
      <c r="D216" s="74">
        <f t="shared" si="58"/>
        <v>0</v>
      </c>
      <c r="E216" s="73">
        <f>IF($D$2="JA",Dashboard!$K$26-$D$11+D216,Dashboard!$K$26)</f>
        <v>2.3800000000000002E-2</v>
      </c>
      <c r="F216" s="72">
        <f t="shared" si="59"/>
        <v>206.91191768878286</v>
      </c>
      <c r="G216" s="72">
        <f t="shared" si="70"/>
        <v>575.56509245377129</v>
      </c>
      <c r="H216" s="72">
        <f>IFERROR(-PMT(E216^1/12,Dashboard!$I$30-A216,B216),0)</f>
        <v>782.47701014255415</v>
      </c>
      <c r="I216" s="75">
        <f t="shared" si="60"/>
        <v>782.47701014255415</v>
      </c>
      <c r="J216" s="76">
        <f t="shared" si="71"/>
        <v>105905.3506175673</v>
      </c>
      <c r="K216" s="76">
        <f>J216*Dashboard!$K$26/12</f>
        <v>236.52194971256696</v>
      </c>
      <c r="L216" s="76">
        <f t="shared" si="61"/>
        <v>572.56389286478816</v>
      </c>
      <c r="M216" s="76">
        <f>IF(H216=0,0,IFERROR(-PMT(Dashboard!$K$26^1/12,Dashboard!$I$30,Dashboard!$I$26),0))</f>
        <v>809.08584257735515</v>
      </c>
      <c r="P216" s="59">
        <v>205</v>
      </c>
      <c r="Q216" s="28">
        <f t="shared" si="62"/>
        <v>0</v>
      </c>
      <c r="R216" s="20">
        <f>Q216/Dashboard!$I$25</f>
        <v>0</v>
      </c>
      <c r="S216" s="20">
        <f t="shared" si="63"/>
        <v>0</v>
      </c>
      <c r="T216" s="20">
        <f>IF($D$2="JA",Dashboard!$K$27-$S$11+S216,Dashboard!$K$27)</f>
        <v>2.6800000000000001E-2</v>
      </c>
      <c r="U216" s="27">
        <f t="shared" si="64"/>
        <v>0</v>
      </c>
      <c r="V216" s="26">
        <f>IF(Q216&lt;=1,0,Dashboard!$I$27/Dashboard!$I$30)</f>
        <v>0</v>
      </c>
      <c r="W216" s="28">
        <f>Q216*Dashboard!$K$27/12</f>
        <v>0</v>
      </c>
      <c r="Y216" s="59">
        <v>205</v>
      </c>
      <c r="Z216" s="67">
        <f>Dashboard!$I$28</f>
        <v>0</v>
      </c>
      <c r="AA216" s="64">
        <f>IF(Z216&lt;=1,0,Dashboard!$I$30-Y216)</f>
        <v>0</v>
      </c>
      <c r="AB216" s="64">
        <f t="shared" si="65"/>
        <v>0</v>
      </c>
      <c r="AC216" s="1">
        <f>Dashboard!$K$28</f>
        <v>2.6800000000000001E-2</v>
      </c>
      <c r="AD216" s="28">
        <f t="shared" si="66"/>
        <v>0</v>
      </c>
      <c r="AF216" s="2">
        <f t="shared" si="67"/>
        <v>104325.33664980647</v>
      </c>
      <c r="AG216" s="62">
        <f>(B216+Q216+Z216)/Dashboard!$I$25</f>
        <v>0.41730134659922591</v>
      </c>
      <c r="AH216" s="20">
        <f t="shared" si="68"/>
        <v>0</v>
      </c>
      <c r="AI216" s="20">
        <f>IF($D$2="JA",Dashboard!$K$26-$AH$11+AH216,Dashboard!$K$26)</f>
        <v>2.3800000000000002E-2</v>
      </c>
      <c r="AJ216" s="27">
        <f>Tabel2[[#This Row],[Schuldrest]]*AI216/12</f>
        <v>206.91191768878286</v>
      </c>
      <c r="AK216" s="20">
        <f>IF($D$2="JA",Dashboard!$K$27-$AH$11+AH216,Dashboard!$K$27)</f>
        <v>2.3800000000000002E-2</v>
      </c>
      <c r="AL216" s="27">
        <f t="shared" si="54"/>
        <v>0</v>
      </c>
      <c r="AM216" s="20">
        <f>IF($D$2="JA",Dashboard!$K$28-$AH$11+AH216,Dashboard!$K$28)</f>
        <v>2.3800000000000002E-2</v>
      </c>
      <c r="AN216" s="27">
        <f t="shared" si="55"/>
        <v>0</v>
      </c>
      <c r="AO216" s="63">
        <f>Tabel2[[#This Row],[Aflossing]]+V216</f>
        <v>575.56509245377129</v>
      </c>
      <c r="AP216" s="63">
        <f t="shared" si="69"/>
        <v>206.91191768878286</v>
      </c>
      <c r="AQ216" s="2">
        <f t="shared" si="56"/>
        <v>236.52194971256696</v>
      </c>
      <c r="AU216" s="20"/>
      <c r="AV216" s="20"/>
    </row>
    <row r="217" spans="1:48">
      <c r="A217" s="71">
        <v>206</v>
      </c>
      <c r="B217" s="77">
        <f t="shared" si="57"/>
        <v>103749.77155735269</v>
      </c>
      <c r="C217" s="73">
        <f>B217/Dashboard!$I$25</f>
        <v>0.41499908622941079</v>
      </c>
      <c r="D217" s="74">
        <f t="shared" si="58"/>
        <v>0</v>
      </c>
      <c r="E217" s="73">
        <f>IF($D$2="JA",Dashboard!$K$26-$D$11+D217,Dashboard!$K$26)</f>
        <v>2.3800000000000002E-2</v>
      </c>
      <c r="F217" s="72">
        <f t="shared" si="59"/>
        <v>205.7703802554162</v>
      </c>
      <c r="G217" s="72">
        <f t="shared" si="70"/>
        <v>576.70662988713798</v>
      </c>
      <c r="H217" s="72">
        <f>IFERROR(-PMT(E217^1/12,Dashboard!$I$30-A217,B217),0)</f>
        <v>782.47701014255415</v>
      </c>
      <c r="I217" s="75">
        <f t="shared" si="60"/>
        <v>782.47701014255415</v>
      </c>
      <c r="J217" s="76">
        <f t="shared" si="71"/>
        <v>105332.78672470251</v>
      </c>
      <c r="K217" s="76">
        <f>J217*Dashboard!$K$26/12</f>
        <v>235.24322368516894</v>
      </c>
      <c r="L217" s="76">
        <f t="shared" si="61"/>
        <v>573.84261889218624</v>
      </c>
      <c r="M217" s="76">
        <f>IF(H217=0,0,IFERROR(-PMT(Dashboard!$K$26^1/12,Dashboard!$I$30,Dashboard!$I$26),0))</f>
        <v>809.08584257735515</v>
      </c>
      <c r="P217" s="59">
        <v>206</v>
      </c>
      <c r="Q217" s="28">
        <f t="shared" si="62"/>
        <v>0</v>
      </c>
      <c r="R217" s="20">
        <f>Q217/Dashboard!$I$25</f>
        <v>0</v>
      </c>
      <c r="S217" s="20">
        <f t="shared" si="63"/>
        <v>0</v>
      </c>
      <c r="T217" s="20">
        <f>IF($D$2="JA",Dashboard!$K$27-$S$11+S217,Dashboard!$K$27)</f>
        <v>2.6800000000000001E-2</v>
      </c>
      <c r="U217" s="27">
        <f t="shared" si="64"/>
        <v>0</v>
      </c>
      <c r="V217" s="26">
        <f>IF(Q217&lt;=1,0,Dashboard!$I$27/Dashboard!$I$30)</f>
        <v>0</v>
      </c>
      <c r="W217" s="28">
        <f>Q217*Dashboard!$K$27/12</f>
        <v>0</v>
      </c>
      <c r="Y217" s="59">
        <v>206</v>
      </c>
      <c r="Z217" s="67">
        <f>Dashboard!$I$28</f>
        <v>0</v>
      </c>
      <c r="AA217" s="64">
        <f>IF(Z217&lt;=1,0,Dashboard!$I$30-Y217)</f>
        <v>0</v>
      </c>
      <c r="AB217" s="64">
        <f t="shared" si="65"/>
        <v>0</v>
      </c>
      <c r="AC217" s="1">
        <f>Dashboard!$K$28</f>
        <v>2.6800000000000001E-2</v>
      </c>
      <c r="AD217" s="28">
        <f t="shared" si="66"/>
        <v>0</v>
      </c>
      <c r="AF217" s="2">
        <f t="shared" si="67"/>
        <v>103749.77155735269</v>
      </c>
      <c r="AG217" s="62">
        <f>(B217+Q217+Z217)/Dashboard!$I$25</f>
        <v>0.41499908622941079</v>
      </c>
      <c r="AH217" s="20">
        <f t="shared" si="68"/>
        <v>0</v>
      </c>
      <c r="AI217" s="20">
        <f>IF($D$2="JA",Dashboard!$K$26-$AH$11+AH217,Dashboard!$K$26)</f>
        <v>2.3800000000000002E-2</v>
      </c>
      <c r="AJ217" s="27">
        <f>Tabel2[[#This Row],[Schuldrest]]*AI217/12</f>
        <v>205.7703802554162</v>
      </c>
      <c r="AK217" s="20">
        <f>IF($D$2="JA",Dashboard!$K$27-$AH$11+AH217,Dashboard!$K$27)</f>
        <v>2.3800000000000002E-2</v>
      </c>
      <c r="AL217" s="27">
        <f t="shared" si="54"/>
        <v>0</v>
      </c>
      <c r="AM217" s="20">
        <f>IF($D$2="JA",Dashboard!$K$28-$AH$11+AH217,Dashboard!$K$28)</f>
        <v>2.3800000000000002E-2</v>
      </c>
      <c r="AN217" s="27">
        <f t="shared" si="55"/>
        <v>0</v>
      </c>
      <c r="AO217" s="63">
        <f>Tabel2[[#This Row],[Aflossing]]+V217</f>
        <v>576.70662988713798</v>
      </c>
      <c r="AP217" s="63">
        <f t="shared" si="69"/>
        <v>205.7703802554162</v>
      </c>
      <c r="AQ217" s="2">
        <f t="shared" si="56"/>
        <v>235.24322368516894</v>
      </c>
      <c r="AU217" s="20"/>
      <c r="AV217" s="20"/>
    </row>
    <row r="218" spans="1:48">
      <c r="A218" s="71">
        <v>207</v>
      </c>
      <c r="B218" s="77">
        <f t="shared" si="57"/>
        <v>103173.06492746556</v>
      </c>
      <c r="C218" s="73">
        <f>B218/Dashboard!$I$25</f>
        <v>0.41269225970986223</v>
      </c>
      <c r="D218" s="74">
        <f t="shared" si="58"/>
        <v>0</v>
      </c>
      <c r="E218" s="73">
        <f>IF($D$2="JA",Dashboard!$K$26-$D$11+D218,Dashboard!$K$26)</f>
        <v>2.3800000000000002E-2</v>
      </c>
      <c r="F218" s="72">
        <f t="shared" si="59"/>
        <v>204.62657877280671</v>
      </c>
      <c r="G218" s="72">
        <f t="shared" si="70"/>
        <v>577.85043136974718</v>
      </c>
      <c r="H218" s="72">
        <f>IFERROR(-PMT(E218^1/12,Dashboard!$I$30-A218,B218),0)</f>
        <v>782.47701014255392</v>
      </c>
      <c r="I218" s="75">
        <f t="shared" si="60"/>
        <v>782.47701014255392</v>
      </c>
      <c r="J218" s="76">
        <f t="shared" si="71"/>
        <v>104758.94410581033</v>
      </c>
      <c r="K218" s="76">
        <f>J218*Dashboard!$K$26/12</f>
        <v>233.96164183630972</v>
      </c>
      <c r="L218" s="76">
        <f t="shared" si="61"/>
        <v>575.12420074104546</v>
      </c>
      <c r="M218" s="76">
        <f>IF(H218=0,0,IFERROR(-PMT(Dashboard!$K$26^1/12,Dashboard!$I$30,Dashboard!$I$26),0))</f>
        <v>809.08584257735515</v>
      </c>
      <c r="P218" s="59">
        <v>207</v>
      </c>
      <c r="Q218" s="28">
        <f t="shared" si="62"/>
        <v>0</v>
      </c>
      <c r="R218" s="20">
        <f>Q218/Dashboard!$I$25</f>
        <v>0</v>
      </c>
      <c r="S218" s="20">
        <f t="shared" si="63"/>
        <v>0</v>
      </c>
      <c r="T218" s="20">
        <f>IF($D$2="JA",Dashboard!$K$27-$S$11+S218,Dashboard!$K$27)</f>
        <v>2.6800000000000001E-2</v>
      </c>
      <c r="U218" s="27">
        <f t="shared" si="64"/>
        <v>0</v>
      </c>
      <c r="V218" s="26">
        <f>IF(Q218&lt;=1,0,Dashboard!$I$27/Dashboard!$I$30)</f>
        <v>0</v>
      </c>
      <c r="W218" s="28">
        <f>Q218*Dashboard!$K$27/12</f>
        <v>0</v>
      </c>
      <c r="Y218" s="59">
        <v>207</v>
      </c>
      <c r="Z218" s="67">
        <f>Dashboard!$I$28</f>
        <v>0</v>
      </c>
      <c r="AA218" s="64">
        <f>IF(Z218&lt;=1,0,Dashboard!$I$30-Y218)</f>
        <v>0</v>
      </c>
      <c r="AB218" s="64">
        <f t="shared" si="65"/>
        <v>0</v>
      </c>
      <c r="AC218" s="1">
        <f>Dashboard!$K$28</f>
        <v>2.6800000000000001E-2</v>
      </c>
      <c r="AD218" s="28">
        <f t="shared" si="66"/>
        <v>0</v>
      </c>
      <c r="AF218" s="2">
        <f t="shared" si="67"/>
        <v>103173.06492746556</v>
      </c>
      <c r="AG218" s="62">
        <f>(B218+Q218+Z218)/Dashboard!$I$25</f>
        <v>0.41269225970986223</v>
      </c>
      <c r="AH218" s="20">
        <f t="shared" si="68"/>
        <v>0</v>
      </c>
      <c r="AI218" s="20">
        <f>IF($D$2="JA",Dashboard!$K$26-$AH$11+AH218,Dashboard!$K$26)</f>
        <v>2.3800000000000002E-2</v>
      </c>
      <c r="AJ218" s="27">
        <f>Tabel2[[#This Row],[Schuldrest]]*AI218/12</f>
        <v>204.62657877280671</v>
      </c>
      <c r="AK218" s="20">
        <f>IF($D$2="JA",Dashboard!$K$27-$AH$11+AH218,Dashboard!$K$27)</f>
        <v>2.3800000000000002E-2</v>
      </c>
      <c r="AL218" s="27">
        <f t="shared" si="54"/>
        <v>0</v>
      </c>
      <c r="AM218" s="20">
        <f>IF($D$2="JA",Dashboard!$K$28-$AH$11+AH218,Dashboard!$K$28)</f>
        <v>2.3800000000000002E-2</v>
      </c>
      <c r="AN218" s="27">
        <f t="shared" si="55"/>
        <v>0</v>
      </c>
      <c r="AO218" s="63">
        <f>Tabel2[[#This Row],[Aflossing]]+V218</f>
        <v>577.85043136974718</v>
      </c>
      <c r="AP218" s="63">
        <f t="shared" si="69"/>
        <v>204.62657877280671</v>
      </c>
      <c r="AQ218" s="2">
        <f t="shared" si="56"/>
        <v>233.96164183630972</v>
      </c>
      <c r="AU218" s="20"/>
      <c r="AV218" s="20"/>
    </row>
    <row r="219" spans="1:48">
      <c r="A219" s="71">
        <v>208</v>
      </c>
      <c r="B219" s="77">
        <f t="shared" si="57"/>
        <v>102595.21449609581</v>
      </c>
      <c r="C219" s="73">
        <f>B219/Dashboard!$I$25</f>
        <v>0.41038085798438323</v>
      </c>
      <c r="D219" s="74">
        <f t="shared" si="58"/>
        <v>0</v>
      </c>
      <c r="E219" s="73">
        <f>IF($D$2="JA",Dashboard!$K$26-$D$11+D219,Dashboard!$K$26)</f>
        <v>2.3800000000000002E-2</v>
      </c>
      <c r="F219" s="72">
        <f t="shared" si="59"/>
        <v>203.48050875059005</v>
      </c>
      <c r="G219" s="72">
        <f t="shared" si="70"/>
        <v>578.99650139196387</v>
      </c>
      <c r="H219" s="72">
        <f>IFERROR(-PMT(E219^1/12,Dashboard!$I$30-A219,B219),0)</f>
        <v>782.47701014255392</v>
      </c>
      <c r="I219" s="75">
        <f t="shared" si="60"/>
        <v>782.47701014255392</v>
      </c>
      <c r="J219" s="76">
        <f t="shared" si="71"/>
        <v>104183.81990506928</v>
      </c>
      <c r="K219" s="76">
        <f>J219*Dashboard!$K$26/12</f>
        <v>232.67719778798804</v>
      </c>
      <c r="L219" s="76">
        <f t="shared" si="61"/>
        <v>576.40864478936714</v>
      </c>
      <c r="M219" s="76">
        <f>IF(H219=0,0,IFERROR(-PMT(Dashboard!$K$26^1/12,Dashboard!$I$30,Dashboard!$I$26),0))</f>
        <v>809.08584257735515</v>
      </c>
      <c r="P219" s="59">
        <v>208</v>
      </c>
      <c r="Q219" s="28">
        <f t="shared" si="62"/>
        <v>0</v>
      </c>
      <c r="R219" s="20">
        <f>Q219/Dashboard!$I$25</f>
        <v>0</v>
      </c>
      <c r="S219" s="20">
        <f t="shared" si="63"/>
        <v>0</v>
      </c>
      <c r="T219" s="20">
        <f>IF($D$2="JA",Dashboard!$K$27-$S$11+S219,Dashboard!$K$27)</f>
        <v>2.6800000000000001E-2</v>
      </c>
      <c r="U219" s="27">
        <f t="shared" si="64"/>
        <v>0</v>
      </c>
      <c r="V219" s="26">
        <f>IF(Q219&lt;=1,0,Dashboard!$I$27/Dashboard!$I$30)</f>
        <v>0</v>
      </c>
      <c r="W219" s="28">
        <f>Q219*Dashboard!$K$27/12</f>
        <v>0</v>
      </c>
      <c r="Y219" s="59">
        <v>208</v>
      </c>
      <c r="Z219" s="67">
        <f>Dashboard!$I$28</f>
        <v>0</v>
      </c>
      <c r="AA219" s="64">
        <f>IF(Z219&lt;=1,0,Dashboard!$I$30-Y219)</f>
        <v>0</v>
      </c>
      <c r="AB219" s="64">
        <f t="shared" si="65"/>
        <v>0</v>
      </c>
      <c r="AC219" s="1">
        <f>Dashboard!$K$28</f>
        <v>2.6800000000000001E-2</v>
      </c>
      <c r="AD219" s="28">
        <f t="shared" si="66"/>
        <v>0</v>
      </c>
      <c r="AF219" s="2">
        <f t="shared" si="67"/>
        <v>102595.21449609581</v>
      </c>
      <c r="AG219" s="62">
        <f>(B219+Q219+Z219)/Dashboard!$I$25</f>
        <v>0.41038085798438323</v>
      </c>
      <c r="AH219" s="20">
        <f t="shared" si="68"/>
        <v>0</v>
      </c>
      <c r="AI219" s="20">
        <f>IF($D$2="JA",Dashboard!$K$26-$AH$11+AH219,Dashboard!$K$26)</f>
        <v>2.3800000000000002E-2</v>
      </c>
      <c r="AJ219" s="27">
        <f>Tabel2[[#This Row],[Schuldrest]]*AI219/12</f>
        <v>203.48050875059005</v>
      </c>
      <c r="AK219" s="20">
        <f>IF($D$2="JA",Dashboard!$K$27-$AH$11+AH219,Dashboard!$K$27)</f>
        <v>2.3800000000000002E-2</v>
      </c>
      <c r="AL219" s="27">
        <f t="shared" si="54"/>
        <v>0</v>
      </c>
      <c r="AM219" s="20">
        <f>IF($D$2="JA",Dashboard!$K$28-$AH$11+AH219,Dashboard!$K$28)</f>
        <v>2.3800000000000002E-2</v>
      </c>
      <c r="AN219" s="27">
        <f t="shared" si="55"/>
        <v>0</v>
      </c>
      <c r="AO219" s="63">
        <f>Tabel2[[#This Row],[Aflossing]]+V219</f>
        <v>578.99650139196387</v>
      </c>
      <c r="AP219" s="63">
        <f t="shared" si="69"/>
        <v>203.48050875059005</v>
      </c>
      <c r="AQ219" s="2">
        <f t="shared" si="56"/>
        <v>232.67719778798804</v>
      </c>
      <c r="AU219" s="20"/>
      <c r="AV219" s="20"/>
    </row>
    <row r="220" spans="1:48">
      <c r="A220" s="71">
        <v>209</v>
      </c>
      <c r="B220" s="77">
        <f t="shared" si="57"/>
        <v>102016.21799470385</v>
      </c>
      <c r="C220" s="73">
        <f>B220/Dashboard!$I$25</f>
        <v>0.40806487197881541</v>
      </c>
      <c r="D220" s="74">
        <f t="shared" si="58"/>
        <v>0</v>
      </c>
      <c r="E220" s="73">
        <f>IF($D$2="JA",Dashboard!$K$26-$D$11+D220,Dashboard!$K$26)</f>
        <v>2.3800000000000002E-2</v>
      </c>
      <c r="F220" s="72">
        <f t="shared" si="59"/>
        <v>202.33216568949601</v>
      </c>
      <c r="G220" s="72">
        <f t="shared" si="70"/>
        <v>580.14484445305823</v>
      </c>
      <c r="H220" s="72">
        <f>IFERROR(-PMT(E220^1/12,Dashboard!$I$30-A220,B220),0)</f>
        <v>782.47701014255426</v>
      </c>
      <c r="I220" s="75">
        <f t="shared" si="60"/>
        <v>782.47701014255426</v>
      </c>
      <c r="J220" s="76">
        <f t="shared" si="71"/>
        <v>103607.41126027991</v>
      </c>
      <c r="K220" s="76">
        <f>J220*Dashboard!$K$26/12</f>
        <v>231.38988514795847</v>
      </c>
      <c r="L220" s="76">
        <f t="shared" si="61"/>
        <v>577.69595742939669</v>
      </c>
      <c r="M220" s="76">
        <f>IF(H220=0,0,IFERROR(-PMT(Dashboard!$K$26^1/12,Dashboard!$I$30,Dashboard!$I$26),0))</f>
        <v>809.08584257735515</v>
      </c>
      <c r="P220" s="59">
        <v>209</v>
      </c>
      <c r="Q220" s="28">
        <f t="shared" si="62"/>
        <v>0</v>
      </c>
      <c r="R220" s="20">
        <f>Q220/Dashboard!$I$25</f>
        <v>0</v>
      </c>
      <c r="S220" s="20">
        <f t="shared" si="63"/>
        <v>0</v>
      </c>
      <c r="T220" s="20">
        <f>IF($D$2="JA",Dashboard!$K$27-$S$11+S220,Dashboard!$K$27)</f>
        <v>2.6800000000000001E-2</v>
      </c>
      <c r="U220" s="27">
        <f t="shared" si="64"/>
        <v>0</v>
      </c>
      <c r="V220" s="26">
        <f>IF(Q220&lt;=1,0,Dashboard!$I$27/Dashboard!$I$30)</f>
        <v>0</v>
      </c>
      <c r="W220" s="28">
        <f>Q220*Dashboard!$K$27/12</f>
        <v>0</v>
      </c>
      <c r="Y220" s="59">
        <v>209</v>
      </c>
      <c r="Z220" s="67">
        <f>Dashboard!$I$28</f>
        <v>0</v>
      </c>
      <c r="AA220" s="64">
        <f>IF(Z220&lt;=1,0,Dashboard!$I$30-Y220)</f>
        <v>0</v>
      </c>
      <c r="AB220" s="64">
        <f t="shared" si="65"/>
        <v>0</v>
      </c>
      <c r="AC220" s="1">
        <f>Dashboard!$K$28</f>
        <v>2.6800000000000001E-2</v>
      </c>
      <c r="AD220" s="28">
        <f t="shared" si="66"/>
        <v>0</v>
      </c>
      <c r="AF220" s="2">
        <f t="shared" si="67"/>
        <v>102016.21799470385</v>
      </c>
      <c r="AG220" s="62">
        <f>(B220+Q220+Z220)/Dashboard!$I$25</f>
        <v>0.40806487197881541</v>
      </c>
      <c r="AH220" s="20">
        <f t="shared" si="68"/>
        <v>0</v>
      </c>
      <c r="AI220" s="20">
        <f>IF($D$2="JA",Dashboard!$K$26-$AH$11+AH220,Dashboard!$K$26)</f>
        <v>2.3800000000000002E-2</v>
      </c>
      <c r="AJ220" s="27">
        <f>Tabel2[[#This Row],[Schuldrest]]*AI220/12</f>
        <v>202.33216568949601</v>
      </c>
      <c r="AK220" s="20">
        <f>IF($D$2="JA",Dashboard!$K$27-$AH$11+AH220,Dashboard!$K$27)</f>
        <v>2.3800000000000002E-2</v>
      </c>
      <c r="AL220" s="27">
        <f t="shared" si="54"/>
        <v>0</v>
      </c>
      <c r="AM220" s="20">
        <f>IF($D$2="JA",Dashboard!$K$28-$AH$11+AH220,Dashboard!$K$28)</f>
        <v>2.3800000000000002E-2</v>
      </c>
      <c r="AN220" s="27">
        <f t="shared" si="55"/>
        <v>0</v>
      </c>
      <c r="AO220" s="63">
        <f>Tabel2[[#This Row],[Aflossing]]+V220</f>
        <v>580.14484445305823</v>
      </c>
      <c r="AP220" s="63">
        <f t="shared" si="69"/>
        <v>202.33216568949601</v>
      </c>
      <c r="AQ220" s="2">
        <f t="shared" si="56"/>
        <v>231.38988514795847</v>
      </c>
      <c r="AU220" s="20"/>
      <c r="AV220" s="20"/>
    </row>
    <row r="221" spans="1:48">
      <c r="A221" s="71">
        <v>210</v>
      </c>
      <c r="B221" s="77">
        <f t="shared" si="57"/>
        <v>101436.0731502508</v>
      </c>
      <c r="C221" s="73">
        <f>B221/Dashboard!$I$25</f>
        <v>0.4057442926010032</v>
      </c>
      <c r="D221" s="74">
        <f t="shared" si="58"/>
        <v>0</v>
      </c>
      <c r="E221" s="73">
        <f>IF($D$2="JA",Dashboard!$K$26-$D$11+D221,Dashboard!$K$26)</f>
        <v>2.3800000000000002E-2</v>
      </c>
      <c r="F221" s="72">
        <f t="shared" si="59"/>
        <v>201.18154508133077</v>
      </c>
      <c r="G221" s="72">
        <f t="shared" si="70"/>
        <v>581.29546506122324</v>
      </c>
      <c r="H221" s="72">
        <f>IFERROR(-PMT(E221^1/12,Dashboard!$I$30-A221,B221),0)</f>
        <v>782.47701014255404</v>
      </c>
      <c r="I221" s="75">
        <f t="shared" si="60"/>
        <v>782.47701014255404</v>
      </c>
      <c r="J221" s="76">
        <f t="shared" si="71"/>
        <v>103029.71530285051</v>
      </c>
      <c r="K221" s="76">
        <f>J221*Dashboard!$K$26/12</f>
        <v>230.09969750969947</v>
      </c>
      <c r="L221" s="76">
        <f t="shared" si="61"/>
        <v>578.98614506765568</v>
      </c>
      <c r="M221" s="76">
        <f>IF(H221=0,0,IFERROR(-PMT(Dashboard!$K$26^1/12,Dashboard!$I$30,Dashboard!$I$26),0))</f>
        <v>809.08584257735515</v>
      </c>
      <c r="P221" s="59">
        <v>210</v>
      </c>
      <c r="Q221" s="28">
        <f t="shared" si="62"/>
        <v>0</v>
      </c>
      <c r="R221" s="20">
        <f>Q221/Dashboard!$I$25</f>
        <v>0</v>
      </c>
      <c r="S221" s="20">
        <f t="shared" si="63"/>
        <v>0</v>
      </c>
      <c r="T221" s="20">
        <f>IF($D$2="JA",Dashboard!$K$27-$S$11+S221,Dashboard!$K$27)</f>
        <v>2.6800000000000001E-2</v>
      </c>
      <c r="U221" s="27">
        <f t="shared" si="64"/>
        <v>0</v>
      </c>
      <c r="V221" s="26">
        <f>IF(Q221&lt;=1,0,Dashboard!$I$27/Dashboard!$I$30)</f>
        <v>0</v>
      </c>
      <c r="W221" s="28">
        <f>Q221*Dashboard!$K$27/12</f>
        <v>0</v>
      </c>
      <c r="Y221" s="59">
        <v>210</v>
      </c>
      <c r="Z221" s="67">
        <f>Dashboard!$I$28</f>
        <v>0</v>
      </c>
      <c r="AA221" s="64">
        <f>IF(Z221&lt;=1,0,Dashboard!$I$30-Y221)</f>
        <v>0</v>
      </c>
      <c r="AB221" s="64">
        <f t="shared" si="65"/>
        <v>0</v>
      </c>
      <c r="AC221" s="1">
        <f>Dashboard!$K$28</f>
        <v>2.6800000000000001E-2</v>
      </c>
      <c r="AD221" s="28">
        <f t="shared" si="66"/>
        <v>0</v>
      </c>
      <c r="AF221" s="2">
        <f t="shared" si="67"/>
        <v>101436.0731502508</v>
      </c>
      <c r="AG221" s="62">
        <f>(B221+Q221+Z221)/Dashboard!$I$25</f>
        <v>0.4057442926010032</v>
      </c>
      <c r="AH221" s="20">
        <f t="shared" si="68"/>
        <v>0</v>
      </c>
      <c r="AI221" s="20">
        <f>IF($D$2="JA",Dashboard!$K$26-$AH$11+AH221,Dashboard!$K$26)</f>
        <v>2.3800000000000002E-2</v>
      </c>
      <c r="AJ221" s="27">
        <f>Tabel2[[#This Row],[Schuldrest]]*AI221/12</f>
        <v>201.18154508133077</v>
      </c>
      <c r="AK221" s="20">
        <f>IF($D$2="JA",Dashboard!$K$27-$AH$11+AH221,Dashboard!$K$27)</f>
        <v>2.3800000000000002E-2</v>
      </c>
      <c r="AL221" s="27">
        <f t="shared" si="54"/>
        <v>0</v>
      </c>
      <c r="AM221" s="20">
        <f>IF($D$2="JA",Dashboard!$K$28-$AH$11+AH221,Dashboard!$K$28)</f>
        <v>2.3800000000000002E-2</v>
      </c>
      <c r="AN221" s="27">
        <f t="shared" si="55"/>
        <v>0</v>
      </c>
      <c r="AO221" s="63">
        <f>Tabel2[[#This Row],[Aflossing]]+V221</f>
        <v>581.29546506122324</v>
      </c>
      <c r="AP221" s="63">
        <f t="shared" si="69"/>
        <v>201.18154508133077</v>
      </c>
      <c r="AQ221" s="2">
        <f t="shared" si="56"/>
        <v>230.09969750969947</v>
      </c>
      <c r="AU221" s="20"/>
      <c r="AV221" s="20"/>
    </row>
    <row r="222" spans="1:48">
      <c r="A222" s="71">
        <v>211</v>
      </c>
      <c r="B222" s="77">
        <f t="shared" si="57"/>
        <v>100854.77768518958</v>
      </c>
      <c r="C222" s="73">
        <f>B222/Dashboard!$I$25</f>
        <v>0.40341911074075831</v>
      </c>
      <c r="D222" s="74">
        <f t="shared" si="58"/>
        <v>0</v>
      </c>
      <c r="E222" s="73">
        <f>IF($D$2="JA",Dashboard!$K$26-$D$11+D222,Dashboard!$K$26)</f>
        <v>2.3800000000000002E-2</v>
      </c>
      <c r="F222" s="72">
        <f t="shared" si="59"/>
        <v>200.02864240895931</v>
      </c>
      <c r="G222" s="72">
        <f t="shared" si="70"/>
        <v>582.44836773359498</v>
      </c>
      <c r="H222" s="72">
        <f>IFERROR(-PMT(E222^1/12,Dashboard!$I$30-A222,B222),0)</f>
        <v>782.47701014255426</v>
      </c>
      <c r="I222" s="75">
        <f t="shared" si="60"/>
        <v>782.47701014255426</v>
      </c>
      <c r="J222" s="76">
        <f t="shared" si="71"/>
        <v>102450.72915778286</v>
      </c>
      <c r="K222" s="76">
        <f>J222*Dashboard!$K$26/12</f>
        <v>228.80662845238172</v>
      </c>
      <c r="L222" s="76">
        <f t="shared" si="61"/>
        <v>580.27921412497346</v>
      </c>
      <c r="M222" s="76">
        <f>IF(H222=0,0,IFERROR(-PMT(Dashboard!$K$26^1/12,Dashboard!$I$30,Dashboard!$I$26),0))</f>
        <v>809.08584257735515</v>
      </c>
      <c r="P222" s="59">
        <v>211</v>
      </c>
      <c r="Q222" s="28">
        <f t="shared" si="62"/>
        <v>0</v>
      </c>
      <c r="R222" s="20">
        <f>Q222/Dashboard!$I$25</f>
        <v>0</v>
      </c>
      <c r="S222" s="20">
        <f t="shared" si="63"/>
        <v>0</v>
      </c>
      <c r="T222" s="20">
        <f>IF($D$2="JA",Dashboard!$K$27-$S$11+S222,Dashboard!$K$27)</f>
        <v>2.6800000000000001E-2</v>
      </c>
      <c r="U222" s="27">
        <f t="shared" si="64"/>
        <v>0</v>
      </c>
      <c r="V222" s="26">
        <f>IF(Q222&lt;=1,0,Dashboard!$I$27/Dashboard!$I$30)</f>
        <v>0</v>
      </c>
      <c r="W222" s="28">
        <f>Q222*Dashboard!$K$27/12</f>
        <v>0</v>
      </c>
      <c r="Y222" s="59">
        <v>211</v>
      </c>
      <c r="Z222" s="67">
        <f>Dashboard!$I$28</f>
        <v>0</v>
      </c>
      <c r="AA222" s="64">
        <f>IF(Z222&lt;=1,0,Dashboard!$I$30-Y222)</f>
        <v>0</v>
      </c>
      <c r="AB222" s="64">
        <f t="shared" si="65"/>
        <v>0</v>
      </c>
      <c r="AC222" s="1">
        <f>Dashboard!$K$28</f>
        <v>2.6800000000000001E-2</v>
      </c>
      <c r="AD222" s="28">
        <f t="shared" si="66"/>
        <v>0</v>
      </c>
      <c r="AF222" s="2">
        <f t="shared" si="67"/>
        <v>100854.77768518958</v>
      </c>
      <c r="AG222" s="62">
        <f>(B222+Q222+Z222)/Dashboard!$I$25</f>
        <v>0.40341911074075831</v>
      </c>
      <c r="AH222" s="20">
        <f t="shared" si="68"/>
        <v>0</v>
      </c>
      <c r="AI222" s="20">
        <f>IF($D$2="JA",Dashboard!$K$26-$AH$11+AH222,Dashboard!$K$26)</f>
        <v>2.3800000000000002E-2</v>
      </c>
      <c r="AJ222" s="27">
        <f>Tabel2[[#This Row],[Schuldrest]]*AI222/12</f>
        <v>200.02864240895931</v>
      </c>
      <c r="AK222" s="20">
        <f>IF($D$2="JA",Dashboard!$K$27-$AH$11+AH222,Dashboard!$K$27)</f>
        <v>2.3800000000000002E-2</v>
      </c>
      <c r="AL222" s="27">
        <f t="shared" si="54"/>
        <v>0</v>
      </c>
      <c r="AM222" s="20">
        <f>IF($D$2="JA",Dashboard!$K$28-$AH$11+AH222,Dashboard!$K$28)</f>
        <v>2.3800000000000002E-2</v>
      </c>
      <c r="AN222" s="27">
        <f t="shared" si="55"/>
        <v>0</v>
      </c>
      <c r="AO222" s="63">
        <f>Tabel2[[#This Row],[Aflossing]]+V222</f>
        <v>582.44836773359498</v>
      </c>
      <c r="AP222" s="63">
        <f t="shared" si="69"/>
        <v>200.02864240895931</v>
      </c>
      <c r="AQ222" s="2">
        <f t="shared" si="56"/>
        <v>228.80662845238172</v>
      </c>
      <c r="AU222" s="20"/>
      <c r="AV222" s="20"/>
    </row>
    <row r="223" spans="1:48">
      <c r="A223" s="71">
        <v>212</v>
      </c>
      <c r="B223" s="77">
        <f t="shared" si="57"/>
        <v>100272.32931745598</v>
      </c>
      <c r="C223" s="73">
        <f>B223/Dashboard!$I$25</f>
        <v>0.40108931726982394</v>
      </c>
      <c r="D223" s="74">
        <f t="shared" si="58"/>
        <v>0</v>
      </c>
      <c r="E223" s="73">
        <f>IF($D$2="JA",Dashboard!$K$26-$D$11+D223,Dashboard!$K$26)</f>
        <v>2.3800000000000002E-2</v>
      </c>
      <c r="F223" s="72">
        <f t="shared" si="59"/>
        <v>198.87345314628772</v>
      </c>
      <c r="G223" s="72">
        <f t="shared" si="70"/>
        <v>583.60355699626643</v>
      </c>
      <c r="H223" s="72">
        <f>IFERROR(-PMT(E223^1/12,Dashboard!$I$30-A223,B223),0)</f>
        <v>782.47701014255415</v>
      </c>
      <c r="I223" s="75">
        <f t="shared" si="60"/>
        <v>782.47701014255415</v>
      </c>
      <c r="J223" s="76">
        <f t="shared" si="71"/>
        <v>101870.44994365789</v>
      </c>
      <c r="K223" s="76">
        <f>J223*Dashboard!$K$26/12</f>
        <v>227.51067154083594</v>
      </c>
      <c r="L223" s="76">
        <f t="shared" si="61"/>
        <v>581.57517103651924</v>
      </c>
      <c r="M223" s="76">
        <f>IF(H223=0,0,IFERROR(-PMT(Dashboard!$K$26^1/12,Dashboard!$I$30,Dashboard!$I$26),0))</f>
        <v>809.08584257735515</v>
      </c>
      <c r="P223" s="59">
        <v>212</v>
      </c>
      <c r="Q223" s="28">
        <f t="shared" si="62"/>
        <v>0</v>
      </c>
      <c r="R223" s="20">
        <f>Q223/Dashboard!$I$25</f>
        <v>0</v>
      </c>
      <c r="S223" s="20">
        <f t="shared" si="63"/>
        <v>0</v>
      </c>
      <c r="T223" s="20">
        <f>IF($D$2="JA",Dashboard!$K$27-$S$11+S223,Dashboard!$K$27)</f>
        <v>2.6800000000000001E-2</v>
      </c>
      <c r="U223" s="27">
        <f t="shared" si="64"/>
        <v>0</v>
      </c>
      <c r="V223" s="26">
        <f>IF(Q223&lt;=1,0,Dashboard!$I$27/Dashboard!$I$30)</f>
        <v>0</v>
      </c>
      <c r="W223" s="28">
        <f>Q223*Dashboard!$K$27/12</f>
        <v>0</v>
      </c>
      <c r="Y223" s="59">
        <v>212</v>
      </c>
      <c r="Z223" s="67">
        <f>Dashboard!$I$28</f>
        <v>0</v>
      </c>
      <c r="AA223" s="64">
        <f>IF(Z223&lt;=1,0,Dashboard!$I$30-Y223)</f>
        <v>0</v>
      </c>
      <c r="AB223" s="64">
        <f t="shared" si="65"/>
        <v>0</v>
      </c>
      <c r="AC223" s="1">
        <f>Dashboard!$K$28</f>
        <v>2.6800000000000001E-2</v>
      </c>
      <c r="AD223" s="28">
        <f t="shared" si="66"/>
        <v>0</v>
      </c>
      <c r="AF223" s="2">
        <f t="shared" si="67"/>
        <v>100272.32931745598</v>
      </c>
      <c r="AG223" s="62">
        <f>(B223+Q223+Z223)/Dashboard!$I$25</f>
        <v>0.40108931726982394</v>
      </c>
      <c r="AH223" s="20">
        <f t="shared" si="68"/>
        <v>0</v>
      </c>
      <c r="AI223" s="20">
        <f>IF($D$2="JA",Dashboard!$K$26-$AH$11+AH223,Dashboard!$K$26)</f>
        <v>2.3800000000000002E-2</v>
      </c>
      <c r="AJ223" s="27">
        <f>Tabel2[[#This Row],[Schuldrest]]*AI223/12</f>
        <v>198.87345314628772</v>
      </c>
      <c r="AK223" s="20">
        <f>IF($D$2="JA",Dashboard!$K$27-$AH$11+AH223,Dashboard!$K$27)</f>
        <v>2.3800000000000002E-2</v>
      </c>
      <c r="AL223" s="27">
        <f t="shared" si="54"/>
        <v>0</v>
      </c>
      <c r="AM223" s="20">
        <f>IF($D$2="JA",Dashboard!$K$28-$AH$11+AH223,Dashboard!$K$28)</f>
        <v>2.3800000000000002E-2</v>
      </c>
      <c r="AN223" s="27">
        <f t="shared" si="55"/>
        <v>0</v>
      </c>
      <c r="AO223" s="63">
        <f>Tabel2[[#This Row],[Aflossing]]+V223</f>
        <v>583.60355699626643</v>
      </c>
      <c r="AP223" s="63">
        <f t="shared" si="69"/>
        <v>198.87345314628772</v>
      </c>
      <c r="AQ223" s="2">
        <f t="shared" si="56"/>
        <v>227.51067154083594</v>
      </c>
      <c r="AU223" s="20"/>
      <c r="AV223" s="20"/>
    </row>
    <row r="224" spans="1:48">
      <c r="A224" s="71">
        <v>213</v>
      </c>
      <c r="B224" s="77">
        <f t="shared" si="57"/>
        <v>99688.725760459711</v>
      </c>
      <c r="C224" s="73">
        <f>B224/Dashboard!$I$25</f>
        <v>0.39875490304183886</v>
      </c>
      <c r="D224" s="74">
        <f t="shared" si="58"/>
        <v>0</v>
      </c>
      <c r="E224" s="73">
        <f>IF($D$2="JA",Dashboard!$K$26-$D$11+D224,Dashboard!$K$26)</f>
        <v>2.3800000000000002E-2</v>
      </c>
      <c r="F224" s="72">
        <f t="shared" si="59"/>
        <v>197.7159727582451</v>
      </c>
      <c r="G224" s="72">
        <f t="shared" si="70"/>
        <v>584.76103738430902</v>
      </c>
      <c r="H224" s="72">
        <f>IFERROR(-PMT(E224^1/12,Dashboard!$I$30-A224,B224),0)</f>
        <v>782.47701014255415</v>
      </c>
      <c r="I224" s="75">
        <f t="shared" si="60"/>
        <v>782.47701014255415</v>
      </c>
      <c r="J224" s="76">
        <f t="shared" si="71"/>
        <v>101288.87477262138</v>
      </c>
      <c r="K224" s="76">
        <f>J224*Dashboard!$K$26/12</f>
        <v>226.21182032552107</v>
      </c>
      <c r="L224" s="76">
        <f t="shared" si="61"/>
        <v>582.87402225183405</v>
      </c>
      <c r="M224" s="76">
        <f>IF(H224=0,0,IFERROR(-PMT(Dashboard!$K$26^1/12,Dashboard!$I$30,Dashboard!$I$26),0))</f>
        <v>809.08584257735515</v>
      </c>
      <c r="P224" s="59">
        <v>213</v>
      </c>
      <c r="Q224" s="28">
        <f t="shared" si="62"/>
        <v>0</v>
      </c>
      <c r="R224" s="20">
        <f>Q224/Dashboard!$I$25</f>
        <v>0</v>
      </c>
      <c r="S224" s="20">
        <f t="shared" si="63"/>
        <v>0</v>
      </c>
      <c r="T224" s="20">
        <f>IF($D$2="JA",Dashboard!$K$27-$S$11+S224,Dashboard!$K$27)</f>
        <v>2.6800000000000001E-2</v>
      </c>
      <c r="U224" s="27">
        <f t="shared" si="64"/>
        <v>0</v>
      </c>
      <c r="V224" s="26">
        <f>IF(Q224&lt;=1,0,Dashboard!$I$27/Dashboard!$I$30)</f>
        <v>0</v>
      </c>
      <c r="W224" s="28">
        <f>Q224*Dashboard!$K$27/12</f>
        <v>0</v>
      </c>
      <c r="Y224" s="59">
        <v>213</v>
      </c>
      <c r="Z224" s="67">
        <f>Dashboard!$I$28</f>
        <v>0</v>
      </c>
      <c r="AA224" s="64">
        <f>IF(Z224&lt;=1,0,Dashboard!$I$30-Y224)</f>
        <v>0</v>
      </c>
      <c r="AB224" s="64">
        <f t="shared" si="65"/>
        <v>0</v>
      </c>
      <c r="AC224" s="1">
        <f>Dashboard!$K$28</f>
        <v>2.6800000000000001E-2</v>
      </c>
      <c r="AD224" s="28">
        <f t="shared" si="66"/>
        <v>0</v>
      </c>
      <c r="AF224" s="2">
        <f t="shared" si="67"/>
        <v>99688.725760459711</v>
      </c>
      <c r="AG224" s="62">
        <f>(B224+Q224+Z224)/Dashboard!$I$25</f>
        <v>0.39875490304183886</v>
      </c>
      <c r="AH224" s="20">
        <f t="shared" si="68"/>
        <v>0</v>
      </c>
      <c r="AI224" s="20">
        <f>IF($D$2="JA",Dashboard!$K$26-$AH$11+AH224,Dashboard!$K$26)</f>
        <v>2.3800000000000002E-2</v>
      </c>
      <c r="AJ224" s="27">
        <f>Tabel2[[#This Row],[Schuldrest]]*AI224/12</f>
        <v>197.7159727582451</v>
      </c>
      <c r="AK224" s="20">
        <f>IF($D$2="JA",Dashboard!$K$27-$AH$11+AH224,Dashboard!$K$27)</f>
        <v>2.3800000000000002E-2</v>
      </c>
      <c r="AL224" s="27">
        <f t="shared" si="54"/>
        <v>0</v>
      </c>
      <c r="AM224" s="20">
        <f>IF($D$2="JA",Dashboard!$K$28-$AH$11+AH224,Dashboard!$K$28)</f>
        <v>2.3800000000000002E-2</v>
      </c>
      <c r="AN224" s="27">
        <f t="shared" si="55"/>
        <v>0</v>
      </c>
      <c r="AO224" s="63">
        <f>Tabel2[[#This Row],[Aflossing]]+V224</f>
        <v>584.76103738430902</v>
      </c>
      <c r="AP224" s="63">
        <f t="shared" si="69"/>
        <v>197.7159727582451</v>
      </c>
      <c r="AQ224" s="2">
        <f t="shared" si="56"/>
        <v>226.21182032552107</v>
      </c>
      <c r="AU224" s="20"/>
      <c r="AV224" s="20"/>
    </row>
    <row r="225" spans="1:48">
      <c r="A225" s="71">
        <v>214</v>
      </c>
      <c r="B225" s="77">
        <f t="shared" si="57"/>
        <v>99103.964723075405</v>
      </c>
      <c r="C225" s="73">
        <f>B225/Dashboard!$I$25</f>
        <v>0.39641585889230163</v>
      </c>
      <c r="D225" s="74">
        <f t="shared" si="58"/>
        <v>0</v>
      </c>
      <c r="E225" s="73">
        <f>IF($D$2="JA",Dashboard!$K$26-$D$11+D225,Dashboard!$K$26)</f>
        <v>2.3800000000000002E-2</v>
      </c>
      <c r="F225" s="72">
        <f t="shared" si="59"/>
        <v>196.55619670076624</v>
      </c>
      <c r="G225" s="72">
        <f t="shared" si="70"/>
        <v>585.92081344178791</v>
      </c>
      <c r="H225" s="72">
        <f>IFERROR(-PMT(E225^1/12,Dashboard!$I$30-A225,B225),0)</f>
        <v>782.47701014255415</v>
      </c>
      <c r="I225" s="75">
        <f t="shared" si="60"/>
        <v>782.47701014255415</v>
      </c>
      <c r="J225" s="76">
        <f t="shared" si="71"/>
        <v>100706.00075036954</v>
      </c>
      <c r="K225" s="76">
        <f>J225*Dashboard!$K$26/12</f>
        <v>224.91006834249197</v>
      </c>
      <c r="L225" s="76">
        <f t="shared" si="61"/>
        <v>584.17577423486318</v>
      </c>
      <c r="M225" s="76">
        <f>IF(H225=0,0,IFERROR(-PMT(Dashboard!$K$26^1/12,Dashboard!$I$30,Dashboard!$I$26),0))</f>
        <v>809.08584257735515</v>
      </c>
      <c r="P225" s="59">
        <v>214</v>
      </c>
      <c r="Q225" s="28">
        <f t="shared" si="62"/>
        <v>0</v>
      </c>
      <c r="R225" s="20">
        <f>Q225/Dashboard!$I$25</f>
        <v>0</v>
      </c>
      <c r="S225" s="20">
        <f t="shared" si="63"/>
        <v>0</v>
      </c>
      <c r="T225" s="20">
        <f>IF($D$2="JA",Dashboard!$K$27-$S$11+S225,Dashboard!$K$27)</f>
        <v>2.6800000000000001E-2</v>
      </c>
      <c r="U225" s="27">
        <f t="shared" si="64"/>
        <v>0</v>
      </c>
      <c r="V225" s="26">
        <f>IF(Q225&lt;=1,0,Dashboard!$I$27/Dashboard!$I$30)</f>
        <v>0</v>
      </c>
      <c r="W225" s="28">
        <f>Q225*Dashboard!$K$27/12</f>
        <v>0</v>
      </c>
      <c r="Y225" s="59">
        <v>214</v>
      </c>
      <c r="Z225" s="67">
        <f>Dashboard!$I$28</f>
        <v>0</v>
      </c>
      <c r="AA225" s="64">
        <f>IF(Z225&lt;=1,0,Dashboard!$I$30-Y225)</f>
        <v>0</v>
      </c>
      <c r="AB225" s="64">
        <f t="shared" si="65"/>
        <v>0</v>
      </c>
      <c r="AC225" s="1">
        <f>Dashboard!$K$28</f>
        <v>2.6800000000000001E-2</v>
      </c>
      <c r="AD225" s="28">
        <f t="shared" si="66"/>
        <v>0</v>
      </c>
      <c r="AF225" s="2">
        <f t="shared" si="67"/>
        <v>99103.964723075405</v>
      </c>
      <c r="AG225" s="62">
        <f>(B225+Q225+Z225)/Dashboard!$I$25</f>
        <v>0.39641585889230163</v>
      </c>
      <c r="AH225" s="20">
        <f t="shared" si="68"/>
        <v>0</v>
      </c>
      <c r="AI225" s="20">
        <f>IF($D$2="JA",Dashboard!$K$26-$AH$11+AH225,Dashboard!$K$26)</f>
        <v>2.3800000000000002E-2</v>
      </c>
      <c r="AJ225" s="27">
        <f>Tabel2[[#This Row],[Schuldrest]]*AI225/12</f>
        <v>196.55619670076624</v>
      </c>
      <c r="AK225" s="20">
        <f>IF($D$2="JA",Dashboard!$K$27-$AH$11+AH225,Dashboard!$K$27)</f>
        <v>2.3800000000000002E-2</v>
      </c>
      <c r="AL225" s="27">
        <f t="shared" si="54"/>
        <v>0</v>
      </c>
      <c r="AM225" s="20">
        <f>IF($D$2="JA",Dashboard!$K$28-$AH$11+AH225,Dashboard!$K$28)</f>
        <v>2.3800000000000002E-2</v>
      </c>
      <c r="AN225" s="27">
        <f t="shared" si="55"/>
        <v>0</v>
      </c>
      <c r="AO225" s="63">
        <f>Tabel2[[#This Row],[Aflossing]]+V225</f>
        <v>585.92081344178791</v>
      </c>
      <c r="AP225" s="63">
        <f t="shared" si="69"/>
        <v>196.55619670076624</v>
      </c>
      <c r="AQ225" s="2">
        <f t="shared" si="56"/>
        <v>224.91006834249197</v>
      </c>
      <c r="AU225" s="20"/>
      <c r="AV225" s="20"/>
    </row>
    <row r="226" spans="1:48">
      <c r="A226" s="71">
        <v>215</v>
      </c>
      <c r="B226" s="77">
        <f t="shared" si="57"/>
        <v>98518.043909633619</v>
      </c>
      <c r="C226" s="73">
        <f>B226/Dashboard!$I$25</f>
        <v>0.39407217563853447</v>
      </c>
      <c r="D226" s="74">
        <f t="shared" si="58"/>
        <v>0</v>
      </c>
      <c r="E226" s="73">
        <f>IF($D$2="JA",Dashboard!$K$26-$D$11+D226,Dashboard!$K$26)</f>
        <v>2.3800000000000002E-2</v>
      </c>
      <c r="F226" s="72">
        <f t="shared" si="59"/>
        <v>195.39412042077336</v>
      </c>
      <c r="G226" s="72">
        <f t="shared" si="70"/>
        <v>587.08288972178082</v>
      </c>
      <c r="H226" s="72">
        <f>IFERROR(-PMT(E226^1/12,Dashboard!$I$30-A226,B226),0)</f>
        <v>782.47701014255415</v>
      </c>
      <c r="I226" s="75">
        <f t="shared" si="60"/>
        <v>782.47701014255415</v>
      </c>
      <c r="J226" s="76">
        <f t="shared" si="71"/>
        <v>100121.82497613468</v>
      </c>
      <c r="K226" s="76">
        <f>J226*Dashboard!$K$26/12</f>
        <v>223.60540911336747</v>
      </c>
      <c r="L226" s="76">
        <f t="shared" si="61"/>
        <v>585.48043346398765</v>
      </c>
      <c r="M226" s="76">
        <f>IF(H226=0,0,IFERROR(-PMT(Dashboard!$K$26^1/12,Dashboard!$I$30,Dashboard!$I$26),0))</f>
        <v>809.08584257735515</v>
      </c>
      <c r="P226" s="59">
        <v>215</v>
      </c>
      <c r="Q226" s="28">
        <f t="shared" si="62"/>
        <v>0</v>
      </c>
      <c r="R226" s="20">
        <f>Q226/Dashboard!$I$25</f>
        <v>0</v>
      </c>
      <c r="S226" s="20">
        <f t="shared" si="63"/>
        <v>0</v>
      </c>
      <c r="T226" s="20">
        <f>IF($D$2="JA",Dashboard!$K$27-$S$11+S226,Dashboard!$K$27)</f>
        <v>2.6800000000000001E-2</v>
      </c>
      <c r="U226" s="27">
        <f t="shared" si="64"/>
        <v>0</v>
      </c>
      <c r="V226" s="26">
        <f>IF(Q226&lt;=1,0,Dashboard!$I$27/Dashboard!$I$30)</f>
        <v>0</v>
      </c>
      <c r="W226" s="28">
        <f>Q226*Dashboard!$K$27/12</f>
        <v>0</v>
      </c>
      <c r="Y226" s="59">
        <v>215</v>
      </c>
      <c r="Z226" s="67">
        <f>Dashboard!$I$28</f>
        <v>0</v>
      </c>
      <c r="AA226" s="64">
        <f>IF(Z226&lt;=1,0,Dashboard!$I$30-Y226)</f>
        <v>0</v>
      </c>
      <c r="AB226" s="64">
        <f t="shared" si="65"/>
        <v>0</v>
      </c>
      <c r="AC226" s="1">
        <f>Dashboard!$K$28</f>
        <v>2.6800000000000001E-2</v>
      </c>
      <c r="AD226" s="28">
        <f t="shared" si="66"/>
        <v>0</v>
      </c>
      <c r="AF226" s="2">
        <f t="shared" si="67"/>
        <v>98518.043909633619</v>
      </c>
      <c r="AG226" s="62">
        <f>(B226+Q226+Z226)/Dashboard!$I$25</f>
        <v>0.39407217563853447</v>
      </c>
      <c r="AH226" s="20">
        <f t="shared" si="68"/>
        <v>0</v>
      </c>
      <c r="AI226" s="20">
        <f>IF($D$2="JA",Dashboard!$K$26-$AH$11+AH226,Dashboard!$K$26)</f>
        <v>2.3800000000000002E-2</v>
      </c>
      <c r="AJ226" s="27">
        <f>Tabel2[[#This Row],[Schuldrest]]*AI226/12</f>
        <v>195.39412042077336</v>
      </c>
      <c r="AK226" s="20">
        <f>IF($D$2="JA",Dashboard!$K$27-$AH$11+AH226,Dashboard!$K$27)</f>
        <v>2.3800000000000002E-2</v>
      </c>
      <c r="AL226" s="27">
        <f t="shared" si="54"/>
        <v>0</v>
      </c>
      <c r="AM226" s="20">
        <f>IF($D$2="JA",Dashboard!$K$28-$AH$11+AH226,Dashboard!$K$28)</f>
        <v>2.3800000000000002E-2</v>
      </c>
      <c r="AN226" s="27">
        <f t="shared" si="55"/>
        <v>0</v>
      </c>
      <c r="AO226" s="63">
        <f>Tabel2[[#This Row],[Aflossing]]+V226</f>
        <v>587.08288972178082</v>
      </c>
      <c r="AP226" s="63">
        <f t="shared" si="69"/>
        <v>195.39412042077336</v>
      </c>
      <c r="AQ226" s="2">
        <f t="shared" si="56"/>
        <v>223.60540911336747</v>
      </c>
      <c r="AU226" s="20"/>
      <c r="AV226" s="20"/>
    </row>
    <row r="227" spans="1:48">
      <c r="A227" s="71">
        <v>216</v>
      </c>
      <c r="B227" s="77">
        <f t="shared" si="57"/>
        <v>97930.961019911832</v>
      </c>
      <c r="C227" s="73">
        <f>B227/Dashboard!$I$25</f>
        <v>0.39172384407964733</v>
      </c>
      <c r="D227" s="74">
        <f t="shared" si="58"/>
        <v>0</v>
      </c>
      <c r="E227" s="73">
        <f>IF($D$2="JA",Dashboard!$K$26-$D$11+D227,Dashboard!$K$26)</f>
        <v>2.3800000000000002E-2</v>
      </c>
      <c r="F227" s="72">
        <f t="shared" si="59"/>
        <v>194.22973935615849</v>
      </c>
      <c r="G227" s="72">
        <f t="shared" si="70"/>
        <v>588.24727078639569</v>
      </c>
      <c r="H227" s="72">
        <f>IFERROR(-PMT(E227^1/12,Dashboard!$I$30-A227,B227),0)</f>
        <v>782.47701014255415</v>
      </c>
      <c r="I227" s="75">
        <f t="shared" si="60"/>
        <v>782.47701014255415</v>
      </c>
      <c r="J227" s="76">
        <f t="shared" si="71"/>
        <v>99536.344542670689</v>
      </c>
      <c r="K227" s="76">
        <f>J227*Dashboard!$K$26/12</f>
        <v>222.29783614529788</v>
      </c>
      <c r="L227" s="76">
        <f t="shared" si="61"/>
        <v>586.78800643205727</v>
      </c>
      <c r="M227" s="76">
        <f>IF(H227=0,0,IFERROR(-PMT(Dashboard!$K$26^1/12,Dashboard!$I$30,Dashboard!$I$26),0))</f>
        <v>809.08584257735515</v>
      </c>
      <c r="P227" s="59">
        <v>216</v>
      </c>
      <c r="Q227" s="28">
        <f t="shared" si="62"/>
        <v>0</v>
      </c>
      <c r="R227" s="20">
        <f>Q227/Dashboard!$I$25</f>
        <v>0</v>
      </c>
      <c r="S227" s="20">
        <f t="shared" si="63"/>
        <v>0</v>
      </c>
      <c r="T227" s="20">
        <f>IF($D$2="JA",Dashboard!$K$27-$S$11+S227,Dashboard!$K$27)</f>
        <v>2.6800000000000001E-2</v>
      </c>
      <c r="U227" s="27">
        <f t="shared" si="64"/>
        <v>0</v>
      </c>
      <c r="V227" s="26">
        <f>IF(Q227&lt;=1,0,Dashboard!$I$27/Dashboard!$I$30)</f>
        <v>0</v>
      </c>
      <c r="W227" s="28">
        <f>Q227*Dashboard!$K$27/12</f>
        <v>0</v>
      </c>
      <c r="Y227" s="59">
        <v>216</v>
      </c>
      <c r="Z227" s="67">
        <f>Dashboard!$I$28</f>
        <v>0</v>
      </c>
      <c r="AA227" s="64">
        <f>IF(Z227&lt;=1,0,Dashboard!$I$30-Y227)</f>
        <v>0</v>
      </c>
      <c r="AB227" s="64">
        <f t="shared" si="65"/>
        <v>0</v>
      </c>
      <c r="AC227" s="1">
        <f>Dashboard!$K$28</f>
        <v>2.6800000000000001E-2</v>
      </c>
      <c r="AD227" s="28">
        <f t="shared" si="66"/>
        <v>0</v>
      </c>
      <c r="AF227" s="2">
        <f t="shared" si="67"/>
        <v>97930.961019911832</v>
      </c>
      <c r="AG227" s="62">
        <f>(B227+Q227+Z227)/Dashboard!$I$25</f>
        <v>0.39172384407964733</v>
      </c>
      <c r="AH227" s="20">
        <f t="shared" si="68"/>
        <v>0</v>
      </c>
      <c r="AI227" s="20">
        <f>IF($D$2="JA",Dashboard!$K$26-$AH$11+AH227,Dashboard!$K$26)</f>
        <v>2.3800000000000002E-2</v>
      </c>
      <c r="AJ227" s="27">
        <f>Tabel2[[#This Row],[Schuldrest]]*AI227/12</f>
        <v>194.22973935615849</v>
      </c>
      <c r="AK227" s="20">
        <f>IF($D$2="JA",Dashboard!$K$27-$AH$11+AH227,Dashboard!$K$27)</f>
        <v>2.3800000000000002E-2</v>
      </c>
      <c r="AL227" s="27">
        <f t="shared" si="54"/>
        <v>0</v>
      </c>
      <c r="AM227" s="20">
        <f>IF($D$2="JA",Dashboard!$K$28-$AH$11+AH227,Dashboard!$K$28)</f>
        <v>2.3800000000000002E-2</v>
      </c>
      <c r="AN227" s="27">
        <f t="shared" si="55"/>
        <v>0</v>
      </c>
      <c r="AO227" s="63">
        <f>Tabel2[[#This Row],[Aflossing]]+V227</f>
        <v>588.24727078639569</v>
      </c>
      <c r="AP227" s="63">
        <f t="shared" si="69"/>
        <v>194.22973935615849</v>
      </c>
      <c r="AQ227" s="2">
        <f t="shared" si="56"/>
        <v>222.29783614529788</v>
      </c>
      <c r="AU227" s="20"/>
      <c r="AV227" s="20"/>
    </row>
    <row r="228" spans="1:48">
      <c r="A228" s="71">
        <v>217</v>
      </c>
      <c r="B228" s="77">
        <f t="shared" si="57"/>
        <v>97342.71374912544</v>
      </c>
      <c r="C228" s="73">
        <f>B228/Dashboard!$I$25</f>
        <v>0.38937085499650176</v>
      </c>
      <c r="D228" s="74">
        <f t="shared" si="58"/>
        <v>0</v>
      </c>
      <c r="E228" s="73">
        <f>IF($D$2="JA",Dashboard!$K$26-$D$11+D228,Dashboard!$K$26)</f>
        <v>2.3800000000000002E-2</v>
      </c>
      <c r="F228" s="72">
        <f t="shared" si="59"/>
        <v>193.06304893576547</v>
      </c>
      <c r="G228" s="72">
        <f t="shared" si="70"/>
        <v>589.4139612067886</v>
      </c>
      <c r="H228" s="72">
        <f>IFERROR(-PMT(E228^1/12,Dashboard!$I$30-A228,B228),0)</f>
        <v>782.47701014255404</v>
      </c>
      <c r="I228" s="75">
        <f t="shared" si="60"/>
        <v>782.47701014255404</v>
      </c>
      <c r="J228" s="76">
        <f t="shared" si="71"/>
        <v>98949.556536238626</v>
      </c>
      <c r="K228" s="76">
        <f>J228*Dashboard!$K$26/12</f>
        <v>220.98734293093295</v>
      </c>
      <c r="L228" s="76">
        <f t="shared" si="61"/>
        <v>588.09849964642217</v>
      </c>
      <c r="M228" s="76">
        <f>IF(H228=0,0,IFERROR(-PMT(Dashboard!$K$26^1/12,Dashboard!$I$30,Dashboard!$I$26),0))</f>
        <v>809.08584257735515</v>
      </c>
      <c r="P228" s="59">
        <v>217</v>
      </c>
      <c r="Q228" s="28">
        <f t="shared" si="62"/>
        <v>0</v>
      </c>
      <c r="R228" s="20">
        <f>Q228/Dashboard!$I$25</f>
        <v>0</v>
      </c>
      <c r="S228" s="20">
        <f t="shared" si="63"/>
        <v>0</v>
      </c>
      <c r="T228" s="20">
        <f>IF($D$2="JA",Dashboard!$K$27-$S$11+S228,Dashboard!$K$27)</f>
        <v>2.6800000000000001E-2</v>
      </c>
      <c r="U228" s="27">
        <f t="shared" si="64"/>
        <v>0</v>
      </c>
      <c r="V228" s="26">
        <f>IF(Q228&lt;=1,0,Dashboard!$I$27/Dashboard!$I$30)</f>
        <v>0</v>
      </c>
      <c r="W228" s="28">
        <f>Q228*Dashboard!$K$27/12</f>
        <v>0</v>
      </c>
      <c r="Y228" s="59">
        <v>217</v>
      </c>
      <c r="Z228" s="67">
        <f>Dashboard!$I$28</f>
        <v>0</v>
      </c>
      <c r="AA228" s="64">
        <f>IF(Z228&lt;=1,0,Dashboard!$I$30-Y228)</f>
        <v>0</v>
      </c>
      <c r="AB228" s="64">
        <f t="shared" si="65"/>
        <v>0</v>
      </c>
      <c r="AC228" s="1">
        <f>Dashboard!$K$28</f>
        <v>2.6800000000000001E-2</v>
      </c>
      <c r="AD228" s="28">
        <f t="shared" si="66"/>
        <v>0</v>
      </c>
      <c r="AF228" s="2">
        <f t="shared" si="67"/>
        <v>97342.71374912544</v>
      </c>
      <c r="AG228" s="62">
        <f>(B228+Q228+Z228)/Dashboard!$I$25</f>
        <v>0.38937085499650176</v>
      </c>
      <c r="AH228" s="20">
        <f t="shared" si="68"/>
        <v>0</v>
      </c>
      <c r="AI228" s="20">
        <f>IF($D$2="JA",Dashboard!$K$26-$AH$11+AH228,Dashboard!$K$26)</f>
        <v>2.3800000000000002E-2</v>
      </c>
      <c r="AJ228" s="27">
        <f>Tabel2[[#This Row],[Schuldrest]]*AI228/12</f>
        <v>193.06304893576547</v>
      </c>
      <c r="AK228" s="20">
        <f>IF($D$2="JA",Dashboard!$K$27-$AH$11+AH228,Dashboard!$K$27)</f>
        <v>2.3800000000000002E-2</v>
      </c>
      <c r="AL228" s="27">
        <f t="shared" si="54"/>
        <v>0</v>
      </c>
      <c r="AM228" s="20">
        <f>IF($D$2="JA",Dashboard!$K$28-$AH$11+AH228,Dashboard!$K$28)</f>
        <v>2.3800000000000002E-2</v>
      </c>
      <c r="AN228" s="27">
        <f t="shared" si="55"/>
        <v>0</v>
      </c>
      <c r="AO228" s="63">
        <f>Tabel2[[#This Row],[Aflossing]]+V228</f>
        <v>589.4139612067886</v>
      </c>
      <c r="AP228" s="63">
        <f t="shared" si="69"/>
        <v>193.06304893576547</v>
      </c>
      <c r="AQ228" s="2">
        <f t="shared" si="56"/>
        <v>220.98734293093295</v>
      </c>
      <c r="AU228" s="20"/>
      <c r="AV228" s="20"/>
    </row>
    <row r="229" spans="1:48">
      <c r="A229" s="71">
        <v>218</v>
      </c>
      <c r="B229" s="77">
        <f t="shared" si="57"/>
        <v>96753.299787918644</v>
      </c>
      <c r="C229" s="73">
        <f>B229/Dashboard!$I$25</f>
        <v>0.38701319915167459</v>
      </c>
      <c r="D229" s="74">
        <f t="shared" si="58"/>
        <v>0</v>
      </c>
      <c r="E229" s="73">
        <f>IF($D$2="JA",Dashboard!$K$26-$D$11+D229,Dashboard!$K$26)</f>
        <v>2.3800000000000002E-2</v>
      </c>
      <c r="F229" s="72">
        <f t="shared" si="59"/>
        <v>191.89404457937201</v>
      </c>
      <c r="G229" s="72">
        <f t="shared" si="70"/>
        <v>590.58296556318226</v>
      </c>
      <c r="H229" s="72">
        <f>IFERROR(-PMT(E229^1/12,Dashboard!$I$30-A229,B229),0)</f>
        <v>782.47701014255426</v>
      </c>
      <c r="I229" s="75">
        <f t="shared" si="60"/>
        <v>782.47701014255426</v>
      </c>
      <c r="J229" s="76">
        <f t="shared" si="71"/>
        <v>98361.458036592201</v>
      </c>
      <c r="K229" s="76">
        <f>J229*Dashboard!$K$26/12</f>
        <v>219.67392294838928</v>
      </c>
      <c r="L229" s="76">
        <f t="shared" si="61"/>
        <v>589.41191962896585</v>
      </c>
      <c r="M229" s="76">
        <f>IF(H229=0,0,IFERROR(-PMT(Dashboard!$K$26^1/12,Dashboard!$I$30,Dashboard!$I$26),0))</f>
        <v>809.08584257735515</v>
      </c>
      <c r="P229" s="59">
        <v>218</v>
      </c>
      <c r="Q229" s="28">
        <f t="shared" si="62"/>
        <v>0</v>
      </c>
      <c r="R229" s="20">
        <f>Q229/Dashboard!$I$25</f>
        <v>0</v>
      </c>
      <c r="S229" s="20">
        <f t="shared" si="63"/>
        <v>0</v>
      </c>
      <c r="T229" s="20">
        <f>IF($D$2="JA",Dashboard!$K$27-$S$11+S229,Dashboard!$K$27)</f>
        <v>2.6800000000000001E-2</v>
      </c>
      <c r="U229" s="27">
        <f t="shared" si="64"/>
        <v>0</v>
      </c>
      <c r="V229" s="26">
        <f>IF(Q229&lt;=1,0,Dashboard!$I$27/Dashboard!$I$30)</f>
        <v>0</v>
      </c>
      <c r="W229" s="28">
        <f>Q229*Dashboard!$K$27/12</f>
        <v>0</v>
      </c>
      <c r="Y229" s="59">
        <v>218</v>
      </c>
      <c r="Z229" s="67">
        <f>Dashboard!$I$28</f>
        <v>0</v>
      </c>
      <c r="AA229" s="64">
        <f>IF(Z229&lt;=1,0,Dashboard!$I$30-Y229)</f>
        <v>0</v>
      </c>
      <c r="AB229" s="64">
        <f t="shared" si="65"/>
        <v>0</v>
      </c>
      <c r="AC229" s="1">
        <f>Dashboard!$K$28</f>
        <v>2.6800000000000001E-2</v>
      </c>
      <c r="AD229" s="28">
        <f t="shared" si="66"/>
        <v>0</v>
      </c>
      <c r="AF229" s="2">
        <f t="shared" si="67"/>
        <v>96753.299787918644</v>
      </c>
      <c r="AG229" s="62">
        <f>(B229+Q229+Z229)/Dashboard!$I$25</f>
        <v>0.38701319915167459</v>
      </c>
      <c r="AH229" s="20">
        <f t="shared" si="68"/>
        <v>0</v>
      </c>
      <c r="AI229" s="20">
        <f>IF($D$2="JA",Dashboard!$K$26-$AH$11+AH229,Dashboard!$K$26)</f>
        <v>2.3800000000000002E-2</v>
      </c>
      <c r="AJ229" s="27">
        <f>Tabel2[[#This Row],[Schuldrest]]*AI229/12</f>
        <v>191.89404457937201</v>
      </c>
      <c r="AK229" s="20">
        <f>IF($D$2="JA",Dashboard!$K$27-$AH$11+AH229,Dashboard!$K$27)</f>
        <v>2.3800000000000002E-2</v>
      </c>
      <c r="AL229" s="27">
        <f t="shared" si="54"/>
        <v>0</v>
      </c>
      <c r="AM229" s="20">
        <f>IF($D$2="JA",Dashboard!$K$28-$AH$11+AH229,Dashboard!$K$28)</f>
        <v>2.3800000000000002E-2</v>
      </c>
      <c r="AN229" s="27">
        <f t="shared" si="55"/>
        <v>0</v>
      </c>
      <c r="AO229" s="63">
        <f>Tabel2[[#This Row],[Aflossing]]+V229</f>
        <v>590.58296556318226</v>
      </c>
      <c r="AP229" s="63">
        <f t="shared" si="69"/>
        <v>191.89404457937201</v>
      </c>
      <c r="AQ229" s="2">
        <f t="shared" si="56"/>
        <v>219.67392294838928</v>
      </c>
      <c r="AU229" s="20"/>
      <c r="AV229" s="20"/>
    </row>
    <row r="230" spans="1:48">
      <c r="A230" s="71">
        <v>219</v>
      </c>
      <c r="B230" s="77">
        <f t="shared" si="57"/>
        <v>96162.716822355462</v>
      </c>
      <c r="C230" s="73">
        <f>B230/Dashboard!$I$25</f>
        <v>0.38465086728942183</v>
      </c>
      <c r="D230" s="74">
        <f t="shared" si="58"/>
        <v>0</v>
      </c>
      <c r="E230" s="73">
        <f>IF($D$2="JA",Dashboard!$K$26-$D$11+D230,Dashboard!$K$26)</f>
        <v>2.3800000000000002E-2</v>
      </c>
      <c r="F230" s="72">
        <f t="shared" si="59"/>
        <v>190.72272169767169</v>
      </c>
      <c r="G230" s="72">
        <f t="shared" si="70"/>
        <v>591.75428844488238</v>
      </c>
      <c r="H230" s="72">
        <f>IFERROR(-PMT(E230^1/12,Dashboard!$I$30-A230,B230),0)</f>
        <v>782.47701014255404</v>
      </c>
      <c r="I230" s="75">
        <f t="shared" si="60"/>
        <v>782.47701014255404</v>
      </c>
      <c r="J230" s="76">
        <f t="shared" si="71"/>
        <v>97772.046116963233</v>
      </c>
      <c r="K230" s="76">
        <f>J230*Dashboard!$K$26/12</f>
        <v>218.35756966121789</v>
      </c>
      <c r="L230" s="76">
        <f t="shared" si="61"/>
        <v>590.72827291613726</v>
      </c>
      <c r="M230" s="76">
        <f>IF(H230=0,0,IFERROR(-PMT(Dashboard!$K$26^1/12,Dashboard!$I$30,Dashboard!$I$26),0))</f>
        <v>809.08584257735515</v>
      </c>
      <c r="P230" s="59">
        <v>219</v>
      </c>
      <c r="Q230" s="28">
        <f t="shared" si="62"/>
        <v>0</v>
      </c>
      <c r="R230" s="20">
        <f>Q230/Dashboard!$I$25</f>
        <v>0</v>
      </c>
      <c r="S230" s="20">
        <f t="shared" si="63"/>
        <v>0</v>
      </c>
      <c r="T230" s="20">
        <f>IF($D$2="JA",Dashboard!$K$27-$S$11+S230,Dashboard!$K$27)</f>
        <v>2.6800000000000001E-2</v>
      </c>
      <c r="U230" s="27">
        <f t="shared" si="64"/>
        <v>0</v>
      </c>
      <c r="V230" s="26">
        <f>IF(Q230&lt;=1,0,Dashboard!$I$27/Dashboard!$I$30)</f>
        <v>0</v>
      </c>
      <c r="W230" s="28">
        <f>Q230*Dashboard!$K$27/12</f>
        <v>0</v>
      </c>
      <c r="Y230" s="59">
        <v>219</v>
      </c>
      <c r="Z230" s="67">
        <f>Dashboard!$I$28</f>
        <v>0</v>
      </c>
      <c r="AA230" s="64">
        <f>IF(Z230&lt;=1,0,Dashboard!$I$30-Y230)</f>
        <v>0</v>
      </c>
      <c r="AB230" s="64">
        <f t="shared" si="65"/>
        <v>0</v>
      </c>
      <c r="AC230" s="1">
        <f>Dashboard!$K$28</f>
        <v>2.6800000000000001E-2</v>
      </c>
      <c r="AD230" s="28">
        <f t="shared" si="66"/>
        <v>0</v>
      </c>
      <c r="AF230" s="2">
        <f t="shared" si="67"/>
        <v>96162.716822355462</v>
      </c>
      <c r="AG230" s="62">
        <f>(B230+Q230+Z230)/Dashboard!$I$25</f>
        <v>0.38465086728942183</v>
      </c>
      <c r="AH230" s="20">
        <f t="shared" si="68"/>
        <v>0</v>
      </c>
      <c r="AI230" s="20">
        <f>IF($D$2="JA",Dashboard!$K$26-$AH$11+AH230,Dashboard!$K$26)</f>
        <v>2.3800000000000002E-2</v>
      </c>
      <c r="AJ230" s="27">
        <f>Tabel2[[#This Row],[Schuldrest]]*AI230/12</f>
        <v>190.72272169767169</v>
      </c>
      <c r="AK230" s="20">
        <f>IF($D$2="JA",Dashboard!$K$27-$AH$11+AH230,Dashboard!$K$27)</f>
        <v>2.3800000000000002E-2</v>
      </c>
      <c r="AL230" s="27">
        <f t="shared" si="54"/>
        <v>0</v>
      </c>
      <c r="AM230" s="20">
        <f>IF($D$2="JA",Dashboard!$K$28-$AH$11+AH230,Dashboard!$K$28)</f>
        <v>2.3800000000000002E-2</v>
      </c>
      <c r="AN230" s="27">
        <f t="shared" si="55"/>
        <v>0</v>
      </c>
      <c r="AO230" s="63">
        <f>Tabel2[[#This Row],[Aflossing]]+V230</f>
        <v>591.75428844488238</v>
      </c>
      <c r="AP230" s="63">
        <f t="shared" si="69"/>
        <v>190.72272169767169</v>
      </c>
      <c r="AQ230" s="2">
        <f t="shared" si="56"/>
        <v>218.35756966121789</v>
      </c>
      <c r="AU230" s="20"/>
      <c r="AV230" s="20"/>
    </row>
    <row r="231" spans="1:48">
      <c r="A231" s="71">
        <v>220</v>
      </c>
      <c r="B231" s="77">
        <f t="shared" si="57"/>
        <v>95570.962533910584</v>
      </c>
      <c r="C231" s="73">
        <f>B231/Dashboard!$I$25</f>
        <v>0.38228385013564231</v>
      </c>
      <c r="D231" s="74">
        <f t="shared" si="58"/>
        <v>0</v>
      </c>
      <c r="E231" s="73">
        <f>IF($D$2="JA",Dashboard!$K$26-$D$11+D231,Dashboard!$K$26)</f>
        <v>2.3800000000000002E-2</v>
      </c>
      <c r="F231" s="72">
        <f t="shared" si="59"/>
        <v>189.549075692256</v>
      </c>
      <c r="G231" s="72">
        <f t="shared" si="70"/>
        <v>592.92793445029804</v>
      </c>
      <c r="H231" s="72">
        <f>IFERROR(-PMT(E231^1/12,Dashboard!$I$30-A231,B231),0)</f>
        <v>782.47701014255404</v>
      </c>
      <c r="I231" s="75">
        <f t="shared" si="60"/>
        <v>782.47701014255404</v>
      </c>
      <c r="J231" s="76">
        <f t="shared" si="71"/>
        <v>97181.317844047095</v>
      </c>
      <c r="K231" s="76">
        <f>J231*Dashboard!$K$26/12</f>
        <v>217.03827651837184</v>
      </c>
      <c r="L231" s="76">
        <f t="shared" si="61"/>
        <v>592.04756605898331</v>
      </c>
      <c r="M231" s="76">
        <f>IF(H231=0,0,IFERROR(-PMT(Dashboard!$K$26^1/12,Dashboard!$I$30,Dashboard!$I$26),0))</f>
        <v>809.08584257735515</v>
      </c>
      <c r="P231" s="59">
        <v>220</v>
      </c>
      <c r="Q231" s="28">
        <f t="shared" si="62"/>
        <v>0</v>
      </c>
      <c r="R231" s="20">
        <f>Q231/Dashboard!$I$25</f>
        <v>0</v>
      </c>
      <c r="S231" s="20">
        <f t="shared" si="63"/>
        <v>0</v>
      </c>
      <c r="T231" s="20">
        <f>IF($D$2="JA",Dashboard!$K$27-$S$11+S231,Dashboard!$K$27)</f>
        <v>2.6800000000000001E-2</v>
      </c>
      <c r="U231" s="27">
        <f t="shared" si="64"/>
        <v>0</v>
      </c>
      <c r="V231" s="26">
        <f>IF(Q231&lt;=1,0,Dashboard!$I$27/Dashboard!$I$30)</f>
        <v>0</v>
      </c>
      <c r="W231" s="28">
        <f>Q231*Dashboard!$K$27/12</f>
        <v>0</v>
      </c>
      <c r="Y231" s="59">
        <v>220</v>
      </c>
      <c r="Z231" s="67">
        <f>Dashboard!$I$28</f>
        <v>0</v>
      </c>
      <c r="AA231" s="64">
        <f>IF(Z231&lt;=1,0,Dashboard!$I$30-Y231)</f>
        <v>0</v>
      </c>
      <c r="AB231" s="64">
        <f t="shared" si="65"/>
        <v>0</v>
      </c>
      <c r="AC231" s="1">
        <f>Dashboard!$K$28</f>
        <v>2.6800000000000001E-2</v>
      </c>
      <c r="AD231" s="28">
        <f t="shared" si="66"/>
        <v>0</v>
      </c>
      <c r="AF231" s="2">
        <f t="shared" si="67"/>
        <v>95570.962533910584</v>
      </c>
      <c r="AG231" s="62">
        <f>(B231+Q231+Z231)/Dashboard!$I$25</f>
        <v>0.38228385013564231</v>
      </c>
      <c r="AH231" s="20">
        <f t="shared" si="68"/>
        <v>0</v>
      </c>
      <c r="AI231" s="20">
        <f>IF($D$2="JA",Dashboard!$K$26-$AH$11+AH231,Dashboard!$K$26)</f>
        <v>2.3800000000000002E-2</v>
      </c>
      <c r="AJ231" s="27">
        <f>Tabel2[[#This Row],[Schuldrest]]*AI231/12</f>
        <v>189.549075692256</v>
      </c>
      <c r="AK231" s="20">
        <f>IF($D$2="JA",Dashboard!$K$27-$AH$11+AH231,Dashboard!$K$27)</f>
        <v>2.3800000000000002E-2</v>
      </c>
      <c r="AL231" s="27">
        <f t="shared" si="54"/>
        <v>0</v>
      </c>
      <c r="AM231" s="20">
        <f>IF($D$2="JA",Dashboard!$K$28-$AH$11+AH231,Dashboard!$K$28)</f>
        <v>2.3800000000000002E-2</v>
      </c>
      <c r="AN231" s="27">
        <f t="shared" si="55"/>
        <v>0</v>
      </c>
      <c r="AO231" s="63">
        <f>Tabel2[[#This Row],[Aflossing]]+V231</f>
        <v>592.92793445029804</v>
      </c>
      <c r="AP231" s="63">
        <f t="shared" si="69"/>
        <v>189.549075692256</v>
      </c>
      <c r="AQ231" s="2">
        <f t="shared" si="56"/>
        <v>217.03827651837184</v>
      </c>
      <c r="AU231" s="20"/>
      <c r="AV231" s="20"/>
    </row>
    <row r="232" spans="1:48">
      <c r="A232" s="71">
        <v>221</v>
      </c>
      <c r="B232" s="77">
        <f t="shared" si="57"/>
        <v>94978.034599460283</v>
      </c>
      <c r="C232" s="73">
        <f>B232/Dashboard!$I$25</f>
        <v>0.37991213839784116</v>
      </c>
      <c r="D232" s="74">
        <f t="shared" si="58"/>
        <v>0</v>
      </c>
      <c r="E232" s="73">
        <f>IF($D$2="JA",Dashboard!$K$26-$D$11+D232,Dashboard!$K$26)</f>
        <v>2.3800000000000002E-2</v>
      </c>
      <c r="F232" s="72">
        <f t="shared" si="59"/>
        <v>188.37310195559624</v>
      </c>
      <c r="G232" s="72">
        <f t="shared" si="70"/>
        <v>594.10390818695805</v>
      </c>
      <c r="H232" s="72">
        <f>IFERROR(-PMT(E232^1/12,Dashboard!$I$30-A232,B232),0)</f>
        <v>782.47701014255426</v>
      </c>
      <c r="I232" s="75">
        <f t="shared" si="60"/>
        <v>782.47701014255426</v>
      </c>
      <c r="J232" s="76">
        <f t="shared" si="71"/>
        <v>96589.270277988107</v>
      </c>
      <c r="K232" s="76">
        <f>J232*Dashboard!$K$26/12</f>
        <v>215.71603695417343</v>
      </c>
      <c r="L232" s="76">
        <f t="shared" si="61"/>
        <v>593.36980562318172</v>
      </c>
      <c r="M232" s="76">
        <f>IF(H232=0,0,IFERROR(-PMT(Dashboard!$K$26^1/12,Dashboard!$I$30,Dashboard!$I$26),0))</f>
        <v>809.08584257735515</v>
      </c>
      <c r="P232" s="59">
        <v>221</v>
      </c>
      <c r="Q232" s="28">
        <f t="shared" si="62"/>
        <v>0</v>
      </c>
      <c r="R232" s="20">
        <f>Q232/Dashboard!$I$25</f>
        <v>0</v>
      </c>
      <c r="S232" s="20">
        <f t="shared" si="63"/>
        <v>0</v>
      </c>
      <c r="T232" s="20">
        <f>IF($D$2="JA",Dashboard!$K$27-$S$11+S232,Dashboard!$K$27)</f>
        <v>2.6800000000000001E-2</v>
      </c>
      <c r="U232" s="27">
        <f t="shared" si="64"/>
        <v>0</v>
      </c>
      <c r="V232" s="26">
        <f>IF(Q232&lt;=1,0,Dashboard!$I$27/Dashboard!$I$30)</f>
        <v>0</v>
      </c>
      <c r="W232" s="28">
        <f>Q232*Dashboard!$K$27/12</f>
        <v>0</v>
      </c>
      <c r="Y232" s="59">
        <v>221</v>
      </c>
      <c r="Z232" s="67">
        <f>Dashboard!$I$28</f>
        <v>0</v>
      </c>
      <c r="AA232" s="64">
        <f>IF(Z232&lt;=1,0,Dashboard!$I$30-Y232)</f>
        <v>0</v>
      </c>
      <c r="AB232" s="64">
        <f t="shared" si="65"/>
        <v>0</v>
      </c>
      <c r="AC232" s="1">
        <f>Dashboard!$K$28</f>
        <v>2.6800000000000001E-2</v>
      </c>
      <c r="AD232" s="28">
        <f t="shared" si="66"/>
        <v>0</v>
      </c>
      <c r="AF232" s="2">
        <f t="shared" si="67"/>
        <v>94978.034599460283</v>
      </c>
      <c r="AG232" s="62">
        <f>(B232+Q232+Z232)/Dashboard!$I$25</f>
        <v>0.37991213839784116</v>
      </c>
      <c r="AH232" s="20">
        <f t="shared" si="68"/>
        <v>0</v>
      </c>
      <c r="AI232" s="20">
        <f>IF($D$2="JA",Dashboard!$K$26-$AH$11+AH232,Dashboard!$K$26)</f>
        <v>2.3800000000000002E-2</v>
      </c>
      <c r="AJ232" s="27">
        <f>Tabel2[[#This Row],[Schuldrest]]*AI232/12</f>
        <v>188.37310195559624</v>
      </c>
      <c r="AK232" s="20">
        <f>IF($D$2="JA",Dashboard!$K$27-$AH$11+AH232,Dashboard!$K$27)</f>
        <v>2.3800000000000002E-2</v>
      </c>
      <c r="AL232" s="27">
        <f t="shared" si="54"/>
        <v>0</v>
      </c>
      <c r="AM232" s="20">
        <f>IF($D$2="JA",Dashboard!$K$28-$AH$11+AH232,Dashboard!$K$28)</f>
        <v>2.3800000000000002E-2</v>
      </c>
      <c r="AN232" s="27">
        <f t="shared" si="55"/>
        <v>0</v>
      </c>
      <c r="AO232" s="63">
        <f>Tabel2[[#This Row],[Aflossing]]+V232</f>
        <v>594.10390818695805</v>
      </c>
      <c r="AP232" s="63">
        <f t="shared" si="69"/>
        <v>188.37310195559624</v>
      </c>
      <c r="AQ232" s="2">
        <f t="shared" si="56"/>
        <v>215.71603695417343</v>
      </c>
      <c r="AU232" s="20"/>
      <c r="AV232" s="20"/>
    </row>
    <row r="233" spans="1:48">
      <c r="A233" s="71">
        <v>222</v>
      </c>
      <c r="B233" s="77">
        <f t="shared" si="57"/>
        <v>94383.93069127333</v>
      </c>
      <c r="C233" s="73">
        <f>B233/Dashboard!$I$25</f>
        <v>0.37753572276509334</v>
      </c>
      <c r="D233" s="74">
        <f t="shared" si="58"/>
        <v>0</v>
      </c>
      <c r="E233" s="73">
        <f>IF($D$2="JA",Dashboard!$K$26-$D$11+D233,Dashboard!$K$26)</f>
        <v>2.3800000000000002E-2</v>
      </c>
      <c r="F233" s="72">
        <f t="shared" si="59"/>
        <v>187.19479587102546</v>
      </c>
      <c r="G233" s="72">
        <f t="shared" si="70"/>
        <v>595.28221427152869</v>
      </c>
      <c r="H233" s="72">
        <f>IFERROR(-PMT(E233^1/12,Dashboard!$I$30-A233,B233),0)</f>
        <v>782.47701014255415</v>
      </c>
      <c r="I233" s="75">
        <f t="shared" si="60"/>
        <v>782.47701014255415</v>
      </c>
      <c r="J233" s="76">
        <f t="shared" si="71"/>
        <v>95995.900472364927</v>
      </c>
      <c r="K233" s="76">
        <f>J233*Dashboard!$K$26/12</f>
        <v>214.39084438828169</v>
      </c>
      <c r="L233" s="76">
        <f t="shared" si="61"/>
        <v>594.69499818907343</v>
      </c>
      <c r="M233" s="76">
        <f>IF(H233=0,0,IFERROR(-PMT(Dashboard!$K$26^1/12,Dashboard!$I$30,Dashboard!$I$26),0))</f>
        <v>809.08584257735515</v>
      </c>
      <c r="P233" s="59">
        <v>222</v>
      </c>
      <c r="Q233" s="28">
        <f t="shared" si="62"/>
        <v>0</v>
      </c>
      <c r="R233" s="20">
        <f>Q233/Dashboard!$I$25</f>
        <v>0</v>
      </c>
      <c r="S233" s="20">
        <f t="shared" si="63"/>
        <v>0</v>
      </c>
      <c r="T233" s="20">
        <f>IF($D$2="JA",Dashboard!$K$27-$S$11+S233,Dashboard!$K$27)</f>
        <v>2.6800000000000001E-2</v>
      </c>
      <c r="U233" s="27">
        <f t="shared" si="64"/>
        <v>0</v>
      </c>
      <c r="V233" s="26">
        <f>IF(Q233&lt;=1,0,Dashboard!$I$27/Dashboard!$I$30)</f>
        <v>0</v>
      </c>
      <c r="W233" s="28">
        <f>Q233*Dashboard!$K$27/12</f>
        <v>0</v>
      </c>
      <c r="Y233" s="59">
        <v>222</v>
      </c>
      <c r="Z233" s="67">
        <f>Dashboard!$I$28</f>
        <v>0</v>
      </c>
      <c r="AA233" s="64">
        <f>IF(Z233&lt;=1,0,Dashboard!$I$30-Y233)</f>
        <v>0</v>
      </c>
      <c r="AB233" s="64">
        <f t="shared" si="65"/>
        <v>0</v>
      </c>
      <c r="AC233" s="1">
        <f>Dashboard!$K$28</f>
        <v>2.6800000000000001E-2</v>
      </c>
      <c r="AD233" s="28">
        <f t="shared" si="66"/>
        <v>0</v>
      </c>
      <c r="AF233" s="2">
        <f t="shared" si="67"/>
        <v>94383.93069127333</v>
      </c>
      <c r="AG233" s="62">
        <f>(B233+Q233+Z233)/Dashboard!$I$25</f>
        <v>0.37753572276509334</v>
      </c>
      <c r="AH233" s="20">
        <f t="shared" si="68"/>
        <v>0</v>
      </c>
      <c r="AI233" s="20">
        <f>IF($D$2="JA",Dashboard!$K$26-$AH$11+AH233,Dashboard!$K$26)</f>
        <v>2.3800000000000002E-2</v>
      </c>
      <c r="AJ233" s="27">
        <f>Tabel2[[#This Row],[Schuldrest]]*AI233/12</f>
        <v>187.19479587102546</v>
      </c>
      <c r="AK233" s="20">
        <f>IF($D$2="JA",Dashboard!$K$27-$AH$11+AH233,Dashboard!$K$27)</f>
        <v>2.3800000000000002E-2</v>
      </c>
      <c r="AL233" s="27">
        <f t="shared" si="54"/>
        <v>0</v>
      </c>
      <c r="AM233" s="20">
        <f>IF($D$2="JA",Dashboard!$K$28-$AH$11+AH233,Dashboard!$K$28)</f>
        <v>2.3800000000000002E-2</v>
      </c>
      <c r="AN233" s="27">
        <f t="shared" si="55"/>
        <v>0</v>
      </c>
      <c r="AO233" s="63">
        <f>Tabel2[[#This Row],[Aflossing]]+V233</f>
        <v>595.28221427152869</v>
      </c>
      <c r="AP233" s="63">
        <f t="shared" si="69"/>
        <v>187.19479587102546</v>
      </c>
      <c r="AQ233" s="2">
        <f t="shared" si="56"/>
        <v>214.39084438828169</v>
      </c>
      <c r="AU233" s="20"/>
      <c r="AV233" s="20"/>
    </row>
    <row r="234" spans="1:48">
      <c r="A234" s="71">
        <v>223</v>
      </c>
      <c r="B234" s="77">
        <f t="shared" si="57"/>
        <v>93788.6484770018</v>
      </c>
      <c r="C234" s="73">
        <f>B234/Dashboard!$I$25</f>
        <v>0.37515459390800721</v>
      </c>
      <c r="D234" s="74">
        <f t="shared" si="58"/>
        <v>0</v>
      </c>
      <c r="E234" s="73">
        <f>IF($D$2="JA",Dashboard!$K$26-$D$11+D234,Dashboard!$K$26)</f>
        <v>2.3800000000000002E-2</v>
      </c>
      <c r="F234" s="72">
        <f t="shared" si="59"/>
        <v>186.01415281272025</v>
      </c>
      <c r="G234" s="72">
        <f t="shared" si="70"/>
        <v>596.46285732983381</v>
      </c>
      <c r="H234" s="72">
        <f>IFERROR(-PMT(E234^1/12,Dashboard!$I$30-A234,B234),0)</f>
        <v>782.47701014255404</v>
      </c>
      <c r="I234" s="75">
        <f t="shared" si="60"/>
        <v>782.47701014255404</v>
      </c>
      <c r="J234" s="76">
        <f t="shared" si="71"/>
        <v>95401.205474175847</v>
      </c>
      <c r="K234" s="76">
        <f>J234*Dashboard!$K$26/12</f>
        <v>213.06269222565939</v>
      </c>
      <c r="L234" s="76">
        <f t="shared" si="61"/>
        <v>596.02315035169579</v>
      </c>
      <c r="M234" s="76">
        <f>IF(H234=0,0,IFERROR(-PMT(Dashboard!$K$26^1/12,Dashboard!$I$30,Dashboard!$I$26),0))</f>
        <v>809.08584257735515</v>
      </c>
      <c r="P234" s="59">
        <v>223</v>
      </c>
      <c r="Q234" s="28">
        <f t="shared" si="62"/>
        <v>0</v>
      </c>
      <c r="R234" s="20">
        <f>Q234/Dashboard!$I$25</f>
        <v>0</v>
      </c>
      <c r="S234" s="20">
        <f t="shared" si="63"/>
        <v>0</v>
      </c>
      <c r="T234" s="20">
        <f>IF($D$2="JA",Dashboard!$K$27-$S$11+S234,Dashboard!$K$27)</f>
        <v>2.6800000000000001E-2</v>
      </c>
      <c r="U234" s="27">
        <f t="shared" si="64"/>
        <v>0</v>
      </c>
      <c r="V234" s="26">
        <f>IF(Q234&lt;=1,0,Dashboard!$I$27/Dashboard!$I$30)</f>
        <v>0</v>
      </c>
      <c r="W234" s="28">
        <f>Q234*Dashboard!$K$27/12</f>
        <v>0</v>
      </c>
      <c r="Y234" s="59">
        <v>223</v>
      </c>
      <c r="Z234" s="67">
        <f>Dashboard!$I$28</f>
        <v>0</v>
      </c>
      <c r="AA234" s="64">
        <f>IF(Z234&lt;=1,0,Dashboard!$I$30-Y234)</f>
        <v>0</v>
      </c>
      <c r="AB234" s="64">
        <f t="shared" si="65"/>
        <v>0</v>
      </c>
      <c r="AC234" s="1">
        <f>Dashboard!$K$28</f>
        <v>2.6800000000000001E-2</v>
      </c>
      <c r="AD234" s="28">
        <f t="shared" si="66"/>
        <v>0</v>
      </c>
      <c r="AF234" s="2">
        <f t="shared" si="67"/>
        <v>93788.6484770018</v>
      </c>
      <c r="AG234" s="62">
        <f>(B234+Q234+Z234)/Dashboard!$I$25</f>
        <v>0.37515459390800721</v>
      </c>
      <c r="AH234" s="20">
        <f t="shared" si="68"/>
        <v>0</v>
      </c>
      <c r="AI234" s="20">
        <f>IF($D$2="JA",Dashboard!$K$26-$AH$11+AH234,Dashboard!$K$26)</f>
        <v>2.3800000000000002E-2</v>
      </c>
      <c r="AJ234" s="27">
        <f>Tabel2[[#This Row],[Schuldrest]]*AI234/12</f>
        <v>186.01415281272025</v>
      </c>
      <c r="AK234" s="20">
        <f>IF($D$2="JA",Dashboard!$K$27-$AH$11+AH234,Dashboard!$K$27)</f>
        <v>2.3800000000000002E-2</v>
      </c>
      <c r="AL234" s="27">
        <f t="shared" si="54"/>
        <v>0</v>
      </c>
      <c r="AM234" s="20">
        <f>IF($D$2="JA",Dashboard!$K$28-$AH$11+AH234,Dashboard!$K$28)</f>
        <v>2.3800000000000002E-2</v>
      </c>
      <c r="AN234" s="27">
        <f t="shared" si="55"/>
        <v>0</v>
      </c>
      <c r="AO234" s="63">
        <f>Tabel2[[#This Row],[Aflossing]]+V234</f>
        <v>596.46285732983381</v>
      </c>
      <c r="AP234" s="63">
        <f t="shared" si="69"/>
        <v>186.01415281272025</v>
      </c>
      <c r="AQ234" s="2">
        <f t="shared" si="56"/>
        <v>213.06269222565939</v>
      </c>
      <c r="AU234" s="20"/>
      <c r="AV234" s="20"/>
    </row>
    <row r="235" spans="1:48">
      <c r="A235" s="71">
        <v>224</v>
      </c>
      <c r="B235" s="77">
        <f t="shared" si="57"/>
        <v>93192.18561967196</v>
      </c>
      <c r="C235" s="73">
        <f>B235/Dashboard!$I$25</f>
        <v>0.37276874247868785</v>
      </c>
      <c r="D235" s="74">
        <f t="shared" si="58"/>
        <v>0</v>
      </c>
      <c r="E235" s="73">
        <f>IF($D$2="JA",Dashboard!$K$26-$D$11+D235,Dashboard!$K$26)</f>
        <v>2.3800000000000002E-2</v>
      </c>
      <c r="F235" s="72">
        <f t="shared" si="59"/>
        <v>184.83116814568271</v>
      </c>
      <c r="G235" s="72">
        <f t="shared" si="70"/>
        <v>597.64584199687147</v>
      </c>
      <c r="H235" s="72">
        <f>IFERROR(-PMT(E235^1/12,Dashboard!$I$30-A235,B235),0)</f>
        <v>782.47701014255415</v>
      </c>
      <c r="I235" s="75">
        <f t="shared" si="60"/>
        <v>782.47701014255415</v>
      </c>
      <c r="J235" s="76">
        <f t="shared" si="71"/>
        <v>94805.182323824149</v>
      </c>
      <c r="K235" s="76">
        <f>J235*Dashboard!$K$26/12</f>
        <v>211.73157385654062</v>
      </c>
      <c r="L235" s="76">
        <f t="shared" si="61"/>
        <v>597.3542687208145</v>
      </c>
      <c r="M235" s="76">
        <f>IF(H235=0,0,IFERROR(-PMT(Dashboard!$K$26^1/12,Dashboard!$I$30,Dashboard!$I$26),0))</f>
        <v>809.08584257735515</v>
      </c>
      <c r="P235" s="59">
        <v>224</v>
      </c>
      <c r="Q235" s="28">
        <f t="shared" si="62"/>
        <v>0</v>
      </c>
      <c r="R235" s="20">
        <f>Q235/Dashboard!$I$25</f>
        <v>0</v>
      </c>
      <c r="S235" s="20">
        <f t="shared" si="63"/>
        <v>0</v>
      </c>
      <c r="T235" s="20">
        <f>IF($D$2="JA",Dashboard!$K$27-$S$11+S235,Dashboard!$K$27)</f>
        <v>2.6800000000000001E-2</v>
      </c>
      <c r="U235" s="27">
        <f t="shared" si="64"/>
        <v>0</v>
      </c>
      <c r="V235" s="26">
        <f>IF(Q235&lt;=1,0,Dashboard!$I$27/Dashboard!$I$30)</f>
        <v>0</v>
      </c>
      <c r="W235" s="28">
        <f>Q235*Dashboard!$K$27/12</f>
        <v>0</v>
      </c>
      <c r="Y235" s="59">
        <v>224</v>
      </c>
      <c r="Z235" s="67">
        <f>Dashboard!$I$28</f>
        <v>0</v>
      </c>
      <c r="AA235" s="64">
        <f>IF(Z235&lt;=1,0,Dashboard!$I$30-Y235)</f>
        <v>0</v>
      </c>
      <c r="AB235" s="64">
        <f t="shared" si="65"/>
        <v>0</v>
      </c>
      <c r="AC235" s="1">
        <f>Dashboard!$K$28</f>
        <v>2.6800000000000001E-2</v>
      </c>
      <c r="AD235" s="28">
        <f t="shared" si="66"/>
        <v>0</v>
      </c>
      <c r="AF235" s="2">
        <f t="shared" si="67"/>
        <v>93192.18561967196</v>
      </c>
      <c r="AG235" s="62">
        <f>(B235+Q235+Z235)/Dashboard!$I$25</f>
        <v>0.37276874247868785</v>
      </c>
      <c r="AH235" s="20">
        <f t="shared" si="68"/>
        <v>0</v>
      </c>
      <c r="AI235" s="20">
        <f>IF($D$2="JA",Dashboard!$K$26-$AH$11+AH235,Dashboard!$K$26)</f>
        <v>2.3800000000000002E-2</v>
      </c>
      <c r="AJ235" s="27">
        <f>Tabel2[[#This Row],[Schuldrest]]*AI235/12</f>
        <v>184.83116814568271</v>
      </c>
      <c r="AK235" s="20">
        <f>IF($D$2="JA",Dashboard!$K$27-$AH$11+AH235,Dashboard!$K$27)</f>
        <v>2.3800000000000002E-2</v>
      </c>
      <c r="AL235" s="27">
        <f t="shared" si="54"/>
        <v>0</v>
      </c>
      <c r="AM235" s="20">
        <f>IF($D$2="JA",Dashboard!$K$28-$AH$11+AH235,Dashboard!$K$28)</f>
        <v>2.3800000000000002E-2</v>
      </c>
      <c r="AN235" s="27">
        <f t="shared" si="55"/>
        <v>0</v>
      </c>
      <c r="AO235" s="63">
        <f>Tabel2[[#This Row],[Aflossing]]+V235</f>
        <v>597.64584199687147</v>
      </c>
      <c r="AP235" s="63">
        <f t="shared" si="69"/>
        <v>184.83116814568271</v>
      </c>
      <c r="AQ235" s="2">
        <f t="shared" si="56"/>
        <v>211.73157385654062</v>
      </c>
      <c r="AU235" s="20"/>
      <c r="AV235" s="20"/>
    </row>
    <row r="236" spans="1:48">
      <c r="A236" s="71">
        <v>225</v>
      </c>
      <c r="B236" s="77">
        <f t="shared" si="57"/>
        <v>92594.539777675091</v>
      </c>
      <c r="C236" s="73">
        <f>B236/Dashboard!$I$25</f>
        <v>0.37037815911070038</v>
      </c>
      <c r="D236" s="74">
        <f t="shared" si="58"/>
        <v>0</v>
      </c>
      <c r="E236" s="73">
        <f>IF($D$2="JA",Dashboard!$K$26-$D$11+D236,Dashboard!$K$26)</f>
        <v>2.3800000000000002E-2</v>
      </c>
      <c r="F236" s="72">
        <f t="shared" si="59"/>
        <v>183.64583722572229</v>
      </c>
      <c r="G236" s="72">
        <f t="shared" si="70"/>
        <v>598.83117291683175</v>
      </c>
      <c r="H236" s="72">
        <f>IFERROR(-PMT(E236^1/12,Dashboard!$I$30-A236,B236),0)</f>
        <v>782.47701014255404</v>
      </c>
      <c r="I236" s="75">
        <f t="shared" si="60"/>
        <v>782.47701014255404</v>
      </c>
      <c r="J236" s="76">
        <f t="shared" si="71"/>
        <v>94207.828055103339</v>
      </c>
      <c r="K236" s="76">
        <f>J236*Dashboard!$K$26/12</f>
        <v>210.39748265639744</v>
      </c>
      <c r="L236" s="76">
        <f t="shared" si="61"/>
        <v>598.68835992095774</v>
      </c>
      <c r="M236" s="76">
        <f>IF(H236=0,0,IFERROR(-PMT(Dashboard!$K$26^1/12,Dashboard!$I$30,Dashboard!$I$26),0))</f>
        <v>809.08584257735515</v>
      </c>
      <c r="P236" s="59">
        <v>225</v>
      </c>
      <c r="Q236" s="28">
        <f t="shared" si="62"/>
        <v>0</v>
      </c>
      <c r="R236" s="20">
        <f>Q236/Dashboard!$I$25</f>
        <v>0</v>
      </c>
      <c r="S236" s="20">
        <f t="shared" si="63"/>
        <v>0</v>
      </c>
      <c r="T236" s="20">
        <f>IF($D$2="JA",Dashboard!$K$27-$S$11+S236,Dashboard!$K$27)</f>
        <v>2.6800000000000001E-2</v>
      </c>
      <c r="U236" s="27">
        <f t="shared" si="64"/>
        <v>0</v>
      </c>
      <c r="V236" s="26">
        <f>IF(Q236&lt;=1,0,Dashboard!$I$27/Dashboard!$I$30)</f>
        <v>0</v>
      </c>
      <c r="W236" s="28">
        <f>Q236*Dashboard!$K$27/12</f>
        <v>0</v>
      </c>
      <c r="Y236" s="59">
        <v>225</v>
      </c>
      <c r="Z236" s="67">
        <f>Dashboard!$I$28</f>
        <v>0</v>
      </c>
      <c r="AA236" s="64">
        <f>IF(Z236&lt;=1,0,Dashboard!$I$30-Y236)</f>
        <v>0</v>
      </c>
      <c r="AB236" s="64">
        <f t="shared" si="65"/>
        <v>0</v>
      </c>
      <c r="AC236" s="1">
        <f>Dashboard!$K$28</f>
        <v>2.6800000000000001E-2</v>
      </c>
      <c r="AD236" s="28">
        <f t="shared" si="66"/>
        <v>0</v>
      </c>
      <c r="AF236" s="2">
        <f t="shared" si="67"/>
        <v>92594.539777675091</v>
      </c>
      <c r="AG236" s="62">
        <f>(B236+Q236+Z236)/Dashboard!$I$25</f>
        <v>0.37037815911070038</v>
      </c>
      <c r="AH236" s="20">
        <f t="shared" si="68"/>
        <v>0</v>
      </c>
      <c r="AI236" s="20">
        <f>IF($D$2="JA",Dashboard!$K$26-$AH$11+AH236,Dashboard!$K$26)</f>
        <v>2.3800000000000002E-2</v>
      </c>
      <c r="AJ236" s="27">
        <f>Tabel2[[#This Row],[Schuldrest]]*AI236/12</f>
        <v>183.64583722572229</v>
      </c>
      <c r="AK236" s="20">
        <f>IF($D$2="JA",Dashboard!$K$27-$AH$11+AH236,Dashboard!$K$27)</f>
        <v>2.3800000000000002E-2</v>
      </c>
      <c r="AL236" s="27">
        <f t="shared" si="54"/>
        <v>0</v>
      </c>
      <c r="AM236" s="20">
        <f>IF($D$2="JA",Dashboard!$K$28-$AH$11+AH236,Dashboard!$K$28)</f>
        <v>2.3800000000000002E-2</v>
      </c>
      <c r="AN236" s="27">
        <f t="shared" si="55"/>
        <v>0</v>
      </c>
      <c r="AO236" s="63">
        <f>Tabel2[[#This Row],[Aflossing]]+V236</f>
        <v>598.83117291683175</v>
      </c>
      <c r="AP236" s="63">
        <f t="shared" si="69"/>
        <v>183.64583722572229</v>
      </c>
      <c r="AQ236" s="2">
        <f t="shared" si="56"/>
        <v>210.39748265639744</v>
      </c>
      <c r="AU236" s="20"/>
      <c r="AV236" s="20"/>
    </row>
    <row r="237" spans="1:48">
      <c r="A237" s="71">
        <v>226</v>
      </c>
      <c r="B237" s="77">
        <f t="shared" si="57"/>
        <v>91995.708604758256</v>
      </c>
      <c r="C237" s="73">
        <f>B237/Dashboard!$I$25</f>
        <v>0.36798283441903301</v>
      </c>
      <c r="D237" s="74">
        <f t="shared" si="58"/>
        <v>0</v>
      </c>
      <c r="E237" s="73">
        <f>IF($D$2="JA",Dashboard!$K$26-$D$11+D237,Dashboard!$K$26)</f>
        <v>2.3800000000000002E-2</v>
      </c>
      <c r="F237" s="72">
        <f t="shared" si="59"/>
        <v>182.45815539943723</v>
      </c>
      <c r="G237" s="72">
        <f t="shared" si="70"/>
        <v>600.01885474311678</v>
      </c>
      <c r="H237" s="72">
        <f>IFERROR(-PMT(E237^1/12,Dashboard!$I$30-A237,B237),0)</f>
        <v>782.47701014255404</v>
      </c>
      <c r="I237" s="75">
        <f t="shared" si="60"/>
        <v>782.47701014255404</v>
      </c>
      <c r="J237" s="76">
        <f t="shared" si="71"/>
        <v>93609.139695182384</v>
      </c>
      <c r="K237" s="76">
        <f>J237*Dashboard!$K$26/12</f>
        <v>209.06041198590734</v>
      </c>
      <c r="L237" s="76">
        <f t="shared" si="61"/>
        <v>600.02543059144784</v>
      </c>
      <c r="M237" s="76">
        <f>IF(H237=0,0,IFERROR(-PMT(Dashboard!$K$26^1/12,Dashboard!$I$30,Dashboard!$I$26),0))</f>
        <v>809.08584257735515</v>
      </c>
      <c r="P237" s="59">
        <v>226</v>
      </c>
      <c r="Q237" s="28">
        <f t="shared" si="62"/>
        <v>0</v>
      </c>
      <c r="R237" s="20">
        <f>Q237/Dashboard!$I$25</f>
        <v>0</v>
      </c>
      <c r="S237" s="20">
        <f t="shared" si="63"/>
        <v>0</v>
      </c>
      <c r="T237" s="20">
        <f>IF($D$2="JA",Dashboard!$K$27-$S$11+S237,Dashboard!$K$27)</f>
        <v>2.6800000000000001E-2</v>
      </c>
      <c r="U237" s="27">
        <f t="shared" si="64"/>
        <v>0</v>
      </c>
      <c r="V237" s="26">
        <f>IF(Q237&lt;=1,0,Dashboard!$I$27/Dashboard!$I$30)</f>
        <v>0</v>
      </c>
      <c r="W237" s="28">
        <f>Q237*Dashboard!$K$27/12</f>
        <v>0</v>
      </c>
      <c r="Y237" s="59">
        <v>226</v>
      </c>
      <c r="Z237" s="67">
        <f>Dashboard!$I$28</f>
        <v>0</v>
      </c>
      <c r="AA237" s="64">
        <f>IF(Z237&lt;=1,0,Dashboard!$I$30-Y237)</f>
        <v>0</v>
      </c>
      <c r="AB237" s="64">
        <f t="shared" si="65"/>
        <v>0</v>
      </c>
      <c r="AC237" s="1">
        <f>Dashboard!$K$28</f>
        <v>2.6800000000000001E-2</v>
      </c>
      <c r="AD237" s="28">
        <f t="shared" si="66"/>
        <v>0</v>
      </c>
      <c r="AF237" s="2">
        <f t="shared" si="67"/>
        <v>91995.708604758256</v>
      </c>
      <c r="AG237" s="62">
        <f>(B237+Q237+Z237)/Dashboard!$I$25</f>
        <v>0.36798283441903301</v>
      </c>
      <c r="AH237" s="20">
        <f t="shared" si="68"/>
        <v>0</v>
      </c>
      <c r="AI237" s="20">
        <f>IF($D$2="JA",Dashboard!$K$26-$AH$11+AH237,Dashboard!$K$26)</f>
        <v>2.3800000000000002E-2</v>
      </c>
      <c r="AJ237" s="27">
        <f>Tabel2[[#This Row],[Schuldrest]]*AI237/12</f>
        <v>182.45815539943723</v>
      </c>
      <c r="AK237" s="20">
        <f>IF($D$2="JA",Dashboard!$K$27-$AH$11+AH237,Dashboard!$K$27)</f>
        <v>2.3800000000000002E-2</v>
      </c>
      <c r="AL237" s="27">
        <f t="shared" si="54"/>
        <v>0</v>
      </c>
      <c r="AM237" s="20">
        <f>IF($D$2="JA",Dashboard!$K$28-$AH$11+AH237,Dashboard!$K$28)</f>
        <v>2.3800000000000002E-2</v>
      </c>
      <c r="AN237" s="27">
        <f t="shared" si="55"/>
        <v>0</v>
      </c>
      <c r="AO237" s="63">
        <f>Tabel2[[#This Row],[Aflossing]]+V237</f>
        <v>600.01885474311678</v>
      </c>
      <c r="AP237" s="63">
        <f t="shared" si="69"/>
        <v>182.45815539943723</v>
      </c>
      <c r="AQ237" s="2">
        <f t="shared" si="56"/>
        <v>209.06041198590734</v>
      </c>
      <c r="AU237" s="20"/>
      <c r="AV237" s="20"/>
    </row>
    <row r="238" spans="1:48">
      <c r="A238" s="71">
        <v>227</v>
      </c>
      <c r="B238" s="77">
        <f t="shared" si="57"/>
        <v>91395.689750015139</v>
      </c>
      <c r="C238" s="73">
        <f>B238/Dashboard!$I$25</f>
        <v>0.36558275900006054</v>
      </c>
      <c r="D238" s="74">
        <f t="shared" si="58"/>
        <v>0</v>
      </c>
      <c r="E238" s="73">
        <f>IF($D$2="JA",Dashboard!$K$26-$D$11+D238,Dashboard!$K$26)</f>
        <v>2.3800000000000002E-2</v>
      </c>
      <c r="F238" s="72">
        <f t="shared" si="59"/>
        <v>181.26811800419671</v>
      </c>
      <c r="G238" s="72">
        <f t="shared" si="70"/>
        <v>601.20889213835744</v>
      </c>
      <c r="H238" s="72">
        <f>IFERROR(-PMT(E238^1/12,Dashboard!$I$30-A238,B238),0)</f>
        <v>782.47701014255415</v>
      </c>
      <c r="I238" s="75">
        <f t="shared" si="60"/>
        <v>782.47701014255415</v>
      </c>
      <c r="J238" s="76">
        <f t="shared" si="71"/>
        <v>93009.114264590942</v>
      </c>
      <c r="K238" s="76">
        <f>J238*Dashboard!$K$26/12</f>
        <v>207.72035519091978</v>
      </c>
      <c r="L238" s="76">
        <f t="shared" si="61"/>
        <v>601.36548738643535</v>
      </c>
      <c r="M238" s="76">
        <f>IF(H238=0,0,IFERROR(-PMT(Dashboard!$K$26^1/12,Dashboard!$I$30,Dashboard!$I$26),0))</f>
        <v>809.08584257735515</v>
      </c>
      <c r="P238" s="59">
        <v>227</v>
      </c>
      <c r="Q238" s="28">
        <f t="shared" si="62"/>
        <v>0</v>
      </c>
      <c r="R238" s="20">
        <f>Q238/Dashboard!$I$25</f>
        <v>0</v>
      </c>
      <c r="S238" s="20">
        <f t="shared" si="63"/>
        <v>0</v>
      </c>
      <c r="T238" s="20">
        <f>IF($D$2="JA",Dashboard!$K$27-$S$11+S238,Dashboard!$K$27)</f>
        <v>2.6800000000000001E-2</v>
      </c>
      <c r="U238" s="27">
        <f t="shared" si="64"/>
        <v>0</v>
      </c>
      <c r="V238" s="26">
        <f>IF(Q238&lt;=1,0,Dashboard!$I$27/Dashboard!$I$30)</f>
        <v>0</v>
      </c>
      <c r="W238" s="28">
        <f>Q238*Dashboard!$K$27/12</f>
        <v>0</v>
      </c>
      <c r="Y238" s="59">
        <v>227</v>
      </c>
      <c r="Z238" s="67">
        <f>Dashboard!$I$28</f>
        <v>0</v>
      </c>
      <c r="AA238" s="64">
        <f>IF(Z238&lt;=1,0,Dashboard!$I$30-Y238)</f>
        <v>0</v>
      </c>
      <c r="AB238" s="64">
        <f t="shared" si="65"/>
        <v>0</v>
      </c>
      <c r="AC238" s="1">
        <f>Dashboard!$K$28</f>
        <v>2.6800000000000001E-2</v>
      </c>
      <c r="AD238" s="28">
        <f t="shared" si="66"/>
        <v>0</v>
      </c>
      <c r="AF238" s="2">
        <f t="shared" si="67"/>
        <v>91395.689750015139</v>
      </c>
      <c r="AG238" s="62">
        <f>(B238+Q238+Z238)/Dashboard!$I$25</f>
        <v>0.36558275900006054</v>
      </c>
      <c r="AH238" s="20">
        <f t="shared" si="68"/>
        <v>0</v>
      </c>
      <c r="AI238" s="20">
        <f>IF($D$2="JA",Dashboard!$K$26-$AH$11+AH238,Dashboard!$K$26)</f>
        <v>2.3800000000000002E-2</v>
      </c>
      <c r="AJ238" s="27">
        <f>Tabel2[[#This Row],[Schuldrest]]*AI238/12</f>
        <v>181.26811800419671</v>
      </c>
      <c r="AK238" s="20">
        <f>IF($D$2="JA",Dashboard!$K$27-$AH$11+AH238,Dashboard!$K$27)</f>
        <v>2.3800000000000002E-2</v>
      </c>
      <c r="AL238" s="27">
        <f t="shared" si="54"/>
        <v>0</v>
      </c>
      <c r="AM238" s="20">
        <f>IF($D$2="JA",Dashboard!$K$28-$AH$11+AH238,Dashboard!$K$28)</f>
        <v>2.3800000000000002E-2</v>
      </c>
      <c r="AN238" s="27">
        <f t="shared" si="55"/>
        <v>0</v>
      </c>
      <c r="AO238" s="63">
        <f>Tabel2[[#This Row],[Aflossing]]+V238</f>
        <v>601.20889213835744</v>
      </c>
      <c r="AP238" s="63">
        <f t="shared" si="69"/>
        <v>181.26811800419671</v>
      </c>
      <c r="AQ238" s="2">
        <f t="shared" si="56"/>
        <v>207.72035519091978</v>
      </c>
      <c r="AU238" s="20"/>
      <c r="AV238" s="20"/>
    </row>
    <row r="239" spans="1:48">
      <c r="A239" s="71">
        <v>228</v>
      </c>
      <c r="B239" s="77">
        <f t="shared" si="57"/>
        <v>90794.480857876784</v>
      </c>
      <c r="C239" s="73">
        <f>B239/Dashboard!$I$25</f>
        <v>0.36317792343150712</v>
      </c>
      <c r="D239" s="74">
        <f t="shared" si="58"/>
        <v>0</v>
      </c>
      <c r="E239" s="73">
        <f>IF($D$2="JA",Dashboard!$K$26-$D$11+D239,Dashboard!$K$26)</f>
        <v>2.3800000000000002E-2</v>
      </c>
      <c r="F239" s="72">
        <f t="shared" si="59"/>
        <v>180.07572036812232</v>
      </c>
      <c r="G239" s="72">
        <f t="shared" si="70"/>
        <v>602.40128977443158</v>
      </c>
      <c r="H239" s="72">
        <f>IFERROR(-PMT(E239^1/12,Dashboard!$I$30-A239,B239),0)</f>
        <v>782.47701014255392</v>
      </c>
      <c r="I239" s="75">
        <f t="shared" si="60"/>
        <v>782.47701014255392</v>
      </c>
      <c r="J239" s="76">
        <f t="shared" si="71"/>
        <v>92407.748777204513</v>
      </c>
      <c r="K239" s="76">
        <f>J239*Dashboard!$K$26/12</f>
        <v>206.37730560242343</v>
      </c>
      <c r="L239" s="76">
        <f t="shared" si="61"/>
        <v>602.70853697493169</v>
      </c>
      <c r="M239" s="76">
        <f>IF(H239=0,0,IFERROR(-PMT(Dashboard!$K$26^1/12,Dashboard!$I$30,Dashboard!$I$26),0))</f>
        <v>809.08584257735515</v>
      </c>
      <c r="P239" s="59">
        <v>228</v>
      </c>
      <c r="Q239" s="28">
        <f t="shared" si="62"/>
        <v>0</v>
      </c>
      <c r="R239" s="20">
        <f>Q239/Dashboard!$I$25</f>
        <v>0</v>
      </c>
      <c r="S239" s="20">
        <f t="shared" si="63"/>
        <v>0</v>
      </c>
      <c r="T239" s="20">
        <f>IF($D$2="JA",Dashboard!$K$27-$S$11+S239,Dashboard!$K$27)</f>
        <v>2.6800000000000001E-2</v>
      </c>
      <c r="U239" s="27">
        <f t="shared" si="64"/>
        <v>0</v>
      </c>
      <c r="V239" s="26">
        <f>IF(Q239&lt;=1,0,Dashboard!$I$27/Dashboard!$I$30)</f>
        <v>0</v>
      </c>
      <c r="W239" s="28">
        <f>Q239*Dashboard!$K$27/12</f>
        <v>0</v>
      </c>
      <c r="Y239" s="59">
        <v>228</v>
      </c>
      <c r="Z239" s="67">
        <f>Dashboard!$I$28</f>
        <v>0</v>
      </c>
      <c r="AA239" s="64">
        <f>IF(Z239&lt;=1,0,Dashboard!$I$30-Y239)</f>
        <v>0</v>
      </c>
      <c r="AB239" s="64">
        <f t="shared" si="65"/>
        <v>0</v>
      </c>
      <c r="AC239" s="1">
        <f>Dashboard!$K$28</f>
        <v>2.6800000000000001E-2</v>
      </c>
      <c r="AD239" s="28">
        <f t="shared" si="66"/>
        <v>0</v>
      </c>
      <c r="AF239" s="2">
        <f t="shared" si="67"/>
        <v>90794.480857876784</v>
      </c>
      <c r="AG239" s="62">
        <f>(B239+Q239+Z239)/Dashboard!$I$25</f>
        <v>0.36317792343150712</v>
      </c>
      <c r="AH239" s="20">
        <f t="shared" si="68"/>
        <v>0</v>
      </c>
      <c r="AI239" s="20">
        <f>IF($D$2="JA",Dashboard!$K$26-$AH$11+AH239,Dashboard!$K$26)</f>
        <v>2.3800000000000002E-2</v>
      </c>
      <c r="AJ239" s="27">
        <f>Tabel2[[#This Row],[Schuldrest]]*AI239/12</f>
        <v>180.07572036812232</v>
      </c>
      <c r="AK239" s="20">
        <f>IF($D$2="JA",Dashboard!$K$27-$AH$11+AH239,Dashboard!$K$27)</f>
        <v>2.3800000000000002E-2</v>
      </c>
      <c r="AL239" s="27">
        <f t="shared" si="54"/>
        <v>0</v>
      </c>
      <c r="AM239" s="20">
        <f>IF($D$2="JA",Dashboard!$K$28-$AH$11+AH239,Dashboard!$K$28)</f>
        <v>2.3800000000000002E-2</v>
      </c>
      <c r="AN239" s="27">
        <f t="shared" si="55"/>
        <v>0</v>
      </c>
      <c r="AO239" s="63">
        <f>Tabel2[[#This Row],[Aflossing]]+V239</f>
        <v>602.40128977443158</v>
      </c>
      <c r="AP239" s="63">
        <f t="shared" si="69"/>
        <v>180.07572036812232</v>
      </c>
      <c r="AQ239" s="2">
        <f t="shared" si="56"/>
        <v>206.37730560242343</v>
      </c>
      <c r="AU239" s="20"/>
      <c r="AV239" s="20"/>
    </row>
    <row r="240" spans="1:48">
      <c r="A240" s="71">
        <v>229</v>
      </c>
      <c r="B240" s="77">
        <f t="shared" si="57"/>
        <v>90192.079568102359</v>
      </c>
      <c r="C240" s="73">
        <f>B240/Dashboard!$I$25</f>
        <v>0.36076831827240946</v>
      </c>
      <c r="D240" s="74">
        <f t="shared" si="58"/>
        <v>0</v>
      </c>
      <c r="E240" s="73">
        <f>IF($D$2="JA",Dashboard!$K$26-$D$11+D240,Dashboard!$K$26)</f>
        <v>2.3800000000000002E-2</v>
      </c>
      <c r="F240" s="72">
        <f t="shared" si="59"/>
        <v>178.8809578100697</v>
      </c>
      <c r="G240" s="72">
        <f t="shared" si="70"/>
        <v>603.59605233248442</v>
      </c>
      <c r="H240" s="72">
        <f>IFERROR(-PMT(E240^1/12,Dashboard!$I$30-A240,B240),0)</f>
        <v>782.47701014255415</v>
      </c>
      <c r="I240" s="75">
        <f t="shared" si="60"/>
        <v>782.47701014255415</v>
      </c>
      <c r="J240" s="76">
        <f t="shared" si="71"/>
        <v>91805.040240229588</v>
      </c>
      <c r="K240" s="76">
        <f>J240*Dashboard!$K$26/12</f>
        <v>205.03125653651276</v>
      </c>
      <c r="L240" s="76">
        <f t="shared" si="61"/>
        <v>604.05458604084242</v>
      </c>
      <c r="M240" s="76">
        <f>IF(H240=0,0,IFERROR(-PMT(Dashboard!$K$26^1/12,Dashboard!$I$30,Dashboard!$I$26),0))</f>
        <v>809.08584257735515</v>
      </c>
      <c r="P240" s="59">
        <v>229</v>
      </c>
      <c r="Q240" s="28">
        <f t="shared" si="62"/>
        <v>0</v>
      </c>
      <c r="R240" s="20">
        <f>Q240/Dashboard!$I$25</f>
        <v>0</v>
      </c>
      <c r="S240" s="20">
        <f t="shared" si="63"/>
        <v>0</v>
      </c>
      <c r="T240" s="20">
        <f>IF($D$2="JA",Dashboard!$K$27-$S$11+S240,Dashboard!$K$27)</f>
        <v>2.6800000000000001E-2</v>
      </c>
      <c r="U240" s="27">
        <f t="shared" si="64"/>
        <v>0</v>
      </c>
      <c r="V240" s="26">
        <f>IF(Q240&lt;=1,0,Dashboard!$I$27/Dashboard!$I$30)</f>
        <v>0</v>
      </c>
      <c r="W240" s="28">
        <f>Q240*Dashboard!$K$27/12</f>
        <v>0</v>
      </c>
      <c r="Y240" s="59">
        <v>229</v>
      </c>
      <c r="Z240" s="67">
        <f>Dashboard!$I$28</f>
        <v>0</v>
      </c>
      <c r="AA240" s="64">
        <f>IF(Z240&lt;=1,0,Dashboard!$I$30-Y240)</f>
        <v>0</v>
      </c>
      <c r="AB240" s="64">
        <f t="shared" si="65"/>
        <v>0</v>
      </c>
      <c r="AC240" s="1">
        <f>Dashboard!$K$28</f>
        <v>2.6800000000000001E-2</v>
      </c>
      <c r="AD240" s="28">
        <f t="shared" si="66"/>
        <v>0</v>
      </c>
      <c r="AF240" s="2">
        <f t="shared" si="67"/>
        <v>90192.079568102359</v>
      </c>
      <c r="AG240" s="62">
        <f>(B240+Q240+Z240)/Dashboard!$I$25</f>
        <v>0.36076831827240946</v>
      </c>
      <c r="AH240" s="20">
        <f t="shared" si="68"/>
        <v>0</v>
      </c>
      <c r="AI240" s="20">
        <f>IF($D$2="JA",Dashboard!$K$26-$AH$11+AH240,Dashboard!$K$26)</f>
        <v>2.3800000000000002E-2</v>
      </c>
      <c r="AJ240" s="27">
        <f>Tabel2[[#This Row],[Schuldrest]]*AI240/12</f>
        <v>178.8809578100697</v>
      </c>
      <c r="AK240" s="20">
        <f>IF($D$2="JA",Dashboard!$K$27-$AH$11+AH240,Dashboard!$K$27)</f>
        <v>2.3800000000000002E-2</v>
      </c>
      <c r="AL240" s="27">
        <f t="shared" si="54"/>
        <v>0</v>
      </c>
      <c r="AM240" s="20">
        <f>IF($D$2="JA",Dashboard!$K$28-$AH$11+AH240,Dashboard!$K$28)</f>
        <v>2.3800000000000002E-2</v>
      </c>
      <c r="AN240" s="27">
        <f t="shared" si="55"/>
        <v>0</v>
      </c>
      <c r="AO240" s="63">
        <f>Tabel2[[#This Row],[Aflossing]]+V240</f>
        <v>603.59605233248442</v>
      </c>
      <c r="AP240" s="63">
        <f t="shared" si="69"/>
        <v>178.8809578100697</v>
      </c>
      <c r="AQ240" s="2">
        <f t="shared" si="56"/>
        <v>205.03125653651276</v>
      </c>
      <c r="AU240" s="20"/>
      <c r="AV240" s="20"/>
    </row>
    <row r="241" spans="1:48">
      <c r="A241" s="71">
        <v>230</v>
      </c>
      <c r="B241" s="77">
        <f t="shared" si="57"/>
        <v>89588.483515769869</v>
      </c>
      <c r="C241" s="73">
        <f>B241/Dashboard!$I$25</f>
        <v>0.35835393406307947</v>
      </c>
      <c r="D241" s="74">
        <f t="shared" si="58"/>
        <v>0</v>
      </c>
      <c r="E241" s="73">
        <f>IF($D$2="JA",Dashboard!$K$26-$D$11+D241,Dashboard!$K$26)</f>
        <v>2.3800000000000002E-2</v>
      </c>
      <c r="F241" s="72">
        <f t="shared" si="59"/>
        <v>177.68382563961026</v>
      </c>
      <c r="G241" s="72">
        <f t="shared" si="70"/>
        <v>604.79318450294386</v>
      </c>
      <c r="H241" s="72">
        <f>IFERROR(-PMT(E241^1/12,Dashboard!$I$30-A241,B241),0)</f>
        <v>782.47701014255415</v>
      </c>
      <c r="I241" s="75">
        <f t="shared" si="60"/>
        <v>782.47701014255415</v>
      </c>
      <c r="J241" s="76">
        <f t="shared" si="71"/>
        <v>91200.985654188742</v>
      </c>
      <c r="K241" s="76">
        <f>J241*Dashboard!$K$26/12</f>
        <v>203.68220129435485</v>
      </c>
      <c r="L241" s="76">
        <f t="shared" si="61"/>
        <v>605.4036412830003</v>
      </c>
      <c r="M241" s="76">
        <f>IF(H241=0,0,IFERROR(-PMT(Dashboard!$K$26^1/12,Dashboard!$I$30,Dashboard!$I$26),0))</f>
        <v>809.08584257735515</v>
      </c>
      <c r="P241" s="59">
        <v>230</v>
      </c>
      <c r="Q241" s="28">
        <f t="shared" si="62"/>
        <v>0</v>
      </c>
      <c r="R241" s="20">
        <f>Q241/Dashboard!$I$25</f>
        <v>0</v>
      </c>
      <c r="S241" s="20">
        <f t="shared" si="63"/>
        <v>0</v>
      </c>
      <c r="T241" s="20">
        <f>IF($D$2="JA",Dashboard!$K$27-$S$11+S241,Dashboard!$K$27)</f>
        <v>2.6800000000000001E-2</v>
      </c>
      <c r="U241" s="27">
        <f t="shared" si="64"/>
        <v>0</v>
      </c>
      <c r="V241" s="26">
        <f>IF(Q241&lt;=1,0,Dashboard!$I$27/Dashboard!$I$30)</f>
        <v>0</v>
      </c>
      <c r="W241" s="28">
        <f>Q241*Dashboard!$K$27/12</f>
        <v>0</v>
      </c>
      <c r="Y241" s="59">
        <v>230</v>
      </c>
      <c r="Z241" s="67">
        <f>Dashboard!$I$28</f>
        <v>0</v>
      </c>
      <c r="AA241" s="64">
        <f>IF(Z241&lt;=1,0,Dashboard!$I$30-Y241)</f>
        <v>0</v>
      </c>
      <c r="AB241" s="64">
        <f t="shared" si="65"/>
        <v>0</v>
      </c>
      <c r="AC241" s="1">
        <f>Dashboard!$K$28</f>
        <v>2.6800000000000001E-2</v>
      </c>
      <c r="AD241" s="28">
        <f t="shared" si="66"/>
        <v>0</v>
      </c>
      <c r="AF241" s="2">
        <f t="shared" si="67"/>
        <v>89588.483515769869</v>
      </c>
      <c r="AG241" s="62">
        <f>(B241+Q241+Z241)/Dashboard!$I$25</f>
        <v>0.35835393406307947</v>
      </c>
      <c r="AH241" s="20">
        <f t="shared" si="68"/>
        <v>0</v>
      </c>
      <c r="AI241" s="20">
        <f>IF($D$2="JA",Dashboard!$K$26-$AH$11+AH241,Dashboard!$K$26)</f>
        <v>2.3800000000000002E-2</v>
      </c>
      <c r="AJ241" s="27">
        <f>Tabel2[[#This Row],[Schuldrest]]*AI241/12</f>
        <v>177.68382563961026</v>
      </c>
      <c r="AK241" s="20">
        <f>IF($D$2="JA",Dashboard!$K$27-$AH$11+AH241,Dashboard!$K$27)</f>
        <v>2.3800000000000002E-2</v>
      </c>
      <c r="AL241" s="27">
        <f t="shared" si="54"/>
        <v>0</v>
      </c>
      <c r="AM241" s="20">
        <f>IF($D$2="JA",Dashboard!$K$28-$AH$11+AH241,Dashboard!$K$28)</f>
        <v>2.3800000000000002E-2</v>
      </c>
      <c r="AN241" s="27">
        <f t="shared" si="55"/>
        <v>0</v>
      </c>
      <c r="AO241" s="63">
        <f>Tabel2[[#This Row],[Aflossing]]+V241</f>
        <v>604.79318450294386</v>
      </c>
      <c r="AP241" s="63">
        <f t="shared" si="69"/>
        <v>177.68382563961026</v>
      </c>
      <c r="AQ241" s="2">
        <f t="shared" si="56"/>
        <v>203.68220129435485</v>
      </c>
      <c r="AU241" s="20"/>
      <c r="AV241" s="20"/>
    </row>
    <row r="242" spans="1:48">
      <c r="A242" s="71">
        <v>231</v>
      </c>
      <c r="B242" s="77">
        <f t="shared" si="57"/>
        <v>88983.690331266931</v>
      </c>
      <c r="C242" s="73">
        <f>B242/Dashboard!$I$25</f>
        <v>0.35593476132506774</v>
      </c>
      <c r="D242" s="74">
        <f t="shared" si="58"/>
        <v>0</v>
      </c>
      <c r="E242" s="73">
        <f>IF($D$2="JA",Dashboard!$K$26-$D$11+D242,Dashboard!$K$26)</f>
        <v>2.3800000000000002E-2</v>
      </c>
      <c r="F242" s="72">
        <f t="shared" si="59"/>
        <v>176.48431915701278</v>
      </c>
      <c r="G242" s="72">
        <f t="shared" si="70"/>
        <v>605.99269098554134</v>
      </c>
      <c r="H242" s="72">
        <f>IFERROR(-PMT(E242^1/12,Dashboard!$I$30-A242,B242),0)</f>
        <v>782.47701014255415</v>
      </c>
      <c r="I242" s="75">
        <f t="shared" si="60"/>
        <v>782.47701014255415</v>
      </c>
      <c r="J242" s="76">
        <f t="shared" si="71"/>
        <v>90595.582012905739</v>
      </c>
      <c r="K242" s="76">
        <f>J242*Dashboard!$K$26/12</f>
        <v>202.33013316215616</v>
      </c>
      <c r="L242" s="76">
        <f t="shared" si="61"/>
        <v>606.75570941519902</v>
      </c>
      <c r="M242" s="76">
        <f>IF(H242=0,0,IFERROR(-PMT(Dashboard!$K$26^1/12,Dashboard!$I$30,Dashboard!$I$26),0))</f>
        <v>809.08584257735515</v>
      </c>
      <c r="P242" s="59">
        <v>231</v>
      </c>
      <c r="Q242" s="28">
        <f t="shared" si="62"/>
        <v>0</v>
      </c>
      <c r="R242" s="20">
        <f>Q242/Dashboard!$I$25</f>
        <v>0</v>
      </c>
      <c r="S242" s="20">
        <f t="shared" si="63"/>
        <v>0</v>
      </c>
      <c r="T242" s="20">
        <f>IF($D$2="JA",Dashboard!$K$27-$S$11+S242,Dashboard!$K$27)</f>
        <v>2.6800000000000001E-2</v>
      </c>
      <c r="U242" s="27">
        <f t="shared" si="64"/>
        <v>0</v>
      </c>
      <c r="V242" s="26">
        <f>IF(Q242&lt;=1,0,Dashboard!$I$27/Dashboard!$I$30)</f>
        <v>0</v>
      </c>
      <c r="W242" s="28">
        <f>Q242*Dashboard!$K$27/12</f>
        <v>0</v>
      </c>
      <c r="Y242" s="59">
        <v>231</v>
      </c>
      <c r="Z242" s="67">
        <f>Dashboard!$I$28</f>
        <v>0</v>
      </c>
      <c r="AA242" s="64">
        <f>IF(Z242&lt;=1,0,Dashboard!$I$30-Y242)</f>
        <v>0</v>
      </c>
      <c r="AB242" s="64">
        <f t="shared" si="65"/>
        <v>0</v>
      </c>
      <c r="AC242" s="1">
        <f>Dashboard!$K$28</f>
        <v>2.6800000000000001E-2</v>
      </c>
      <c r="AD242" s="28">
        <f t="shared" si="66"/>
        <v>0</v>
      </c>
      <c r="AF242" s="2">
        <f t="shared" si="67"/>
        <v>88983.690331266931</v>
      </c>
      <c r="AG242" s="62">
        <f>(B242+Q242+Z242)/Dashboard!$I$25</f>
        <v>0.35593476132506774</v>
      </c>
      <c r="AH242" s="20">
        <f t="shared" si="68"/>
        <v>0</v>
      </c>
      <c r="AI242" s="20">
        <f>IF($D$2="JA",Dashboard!$K$26-$AH$11+AH242,Dashboard!$K$26)</f>
        <v>2.3800000000000002E-2</v>
      </c>
      <c r="AJ242" s="27">
        <f>Tabel2[[#This Row],[Schuldrest]]*AI242/12</f>
        <v>176.48431915701278</v>
      </c>
      <c r="AK242" s="20">
        <f>IF($D$2="JA",Dashboard!$K$27-$AH$11+AH242,Dashboard!$K$27)</f>
        <v>2.3800000000000002E-2</v>
      </c>
      <c r="AL242" s="27">
        <f t="shared" si="54"/>
        <v>0</v>
      </c>
      <c r="AM242" s="20">
        <f>IF($D$2="JA",Dashboard!$K$28-$AH$11+AH242,Dashboard!$K$28)</f>
        <v>2.3800000000000002E-2</v>
      </c>
      <c r="AN242" s="27">
        <f t="shared" si="55"/>
        <v>0</v>
      </c>
      <c r="AO242" s="63">
        <f>Tabel2[[#This Row],[Aflossing]]+V242</f>
        <v>605.99269098554134</v>
      </c>
      <c r="AP242" s="63">
        <f t="shared" si="69"/>
        <v>176.48431915701278</v>
      </c>
      <c r="AQ242" s="2">
        <f t="shared" si="56"/>
        <v>202.33013316215616</v>
      </c>
      <c r="AU242" s="20"/>
      <c r="AV242" s="20"/>
    </row>
    <row r="243" spans="1:48">
      <c r="A243" s="71">
        <v>232</v>
      </c>
      <c r="B243" s="77">
        <f t="shared" si="57"/>
        <v>88377.697640281389</v>
      </c>
      <c r="C243" s="73">
        <f>B243/Dashboard!$I$25</f>
        <v>0.35351079056112555</v>
      </c>
      <c r="D243" s="74">
        <f t="shared" si="58"/>
        <v>0</v>
      </c>
      <c r="E243" s="73">
        <f>IF($D$2="JA",Dashboard!$K$26-$D$11+D243,Dashboard!$K$26)</f>
        <v>2.3800000000000002E-2</v>
      </c>
      <c r="F243" s="72">
        <f t="shared" si="59"/>
        <v>175.28243365322476</v>
      </c>
      <c r="G243" s="72">
        <f t="shared" si="70"/>
        <v>607.19457648932939</v>
      </c>
      <c r="H243" s="72">
        <f>IFERROR(-PMT(E243^1/12,Dashboard!$I$30-A243,B243),0)</f>
        <v>782.47701014255415</v>
      </c>
      <c r="I243" s="75">
        <f t="shared" si="60"/>
        <v>782.47701014255415</v>
      </c>
      <c r="J243" s="76">
        <f t="shared" si="71"/>
        <v>89988.826303490539</v>
      </c>
      <c r="K243" s="76">
        <f>J243*Dashboard!$K$26/12</f>
        <v>200.97504541112889</v>
      </c>
      <c r="L243" s="76">
        <f t="shared" si="61"/>
        <v>608.11079716622623</v>
      </c>
      <c r="M243" s="76">
        <f>IF(H243=0,0,IFERROR(-PMT(Dashboard!$K$26^1/12,Dashboard!$I$30,Dashboard!$I$26),0))</f>
        <v>809.08584257735515</v>
      </c>
      <c r="P243" s="59">
        <v>232</v>
      </c>
      <c r="Q243" s="28">
        <f t="shared" si="62"/>
        <v>0</v>
      </c>
      <c r="R243" s="20">
        <f>Q243/Dashboard!$I$25</f>
        <v>0</v>
      </c>
      <c r="S243" s="20">
        <f t="shared" si="63"/>
        <v>0</v>
      </c>
      <c r="T243" s="20">
        <f>IF($D$2="JA",Dashboard!$K$27-$S$11+S243,Dashboard!$K$27)</f>
        <v>2.6800000000000001E-2</v>
      </c>
      <c r="U243" s="27">
        <f t="shared" si="64"/>
        <v>0</v>
      </c>
      <c r="V243" s="26">
        <f>IF(Q243&lt;=1,0,Dashboard!$I$27/Dashboard!$I$30)</f>
        <v>0</v>
      </c>
      <c r="W243" s="28">
        <f>Q243*Dashboard!$K$27/12</f>
        <v>0</v>
      </c>
      <c r="Y243" s="59">
        <v>232</v>
      </c>
      <c r="Z243" s="67">
        <f>Dashboard!$I$28</f>
        <v>0</v>
      </c>
      <c r="AA243" s="64">
        <f>IF(Z243&lt;=1,0,Dashboard!$I$30-Y243)</f>
        <v>0</v>
      </c>
      <c r="AB243" s="64">
        <f t="shared" si="65"/>
        <v>0</v>
      </c>
      <c r="AC243" s="1">
        <f>Dashboard!$K$28</f>
        <v>2.6800000000000001E-2</v>
      </c>
      <c r="AD243" s="28">
        <f t="shared" si="66"/>
        <v>0</v>
      </c>
      <c r="AF243" s="2">
        <f t="shared" si="67"/>
        <v>88377.697640281389</v>
      </c>
      <c r="AG243" s="62">
        <f>(B243+Q243+Z243)/Dashboard!$I$25</f>
        <v>0.35351079056112555</v>
      </c>
      <c r="AH243" s="20">
        <f t="shared" si="68"/>
        <v>0</v>
      </c>
      <c r="AI243" s="20">
        <f>IF($D$2="JA",Dashboard!$K$26-$AH$11+AH243,Dashboard!$K$26)</f>
        <v>2.3800000000000002E-2</v>
      </c>
      <c r="AJ243" s="27">
        <f>Tabel2[[#This Row],[Schuldrest]]*AI243/12</f>
        <v>175.28243365322476</v>
      </c>
      <c r="AK243" s="20">
        <f>IF($D$2="JA",Dashboard!$K$27-$AH$11+AH243,Dashboard!$K$27)</f>
        <v>2.3800000000000002E-2</v>
      </c>
      <c r="AL243" s="27">
        <f t="shared" si="54"/>
        <v>0</v>
      </c>
      <c r="AM243" s="20">
        <f>IF($D$2="JA",Dashboard!$K$28-$AH$11+AH243,Dashboard!$K$28)</f>
        <v>2.3800000000000002E-2</v>
      </c>
      <c r="AN243" s="27">
        <f t="shared" si="55"/>
        <v>0</v>
      </c>
      <c r="AO243" s="63">
        <f>Tabel2[[#This Row],[Aflossing]]+V243</f>
        <v>607.19457648932939</v>
      </c>
      <c r="AP243" s="63">
        <f t="shared" si="69"/>
        <v>175.28243365322476</v>
      </c>
      <c r="AQ243" s="2">
        <f t="shared" si="56"/>
        <v>200.97504541112889</v>
      </c>
      <c r="AU243" s="20"/>
      <c r="AV243" s="20"/>
    </row>
    <row r="244" spans="1:48">
      <c r="A244" s="71">
        <v>233</v>
      </c>
      <c r="B244" s="77">
        <f t="shared" si="57"/>
        <v>87770.503063792057</v>
      </c>
      <c r="C244" s="73">
        <f>B244/Dashboard!$I$25</f>
        <v>0.35108201225516822</v>
      </c>
      <c r="D244" s="74">
        <f t="shared" si="58"/>
        <v>0</v>
      </c>
      <c r="E244" s="73">
        <f>IF($D$2="JA",Dashboard!$K$26-$D$11+D244,Dashboard!$K$26)</f>
        <v>2.3800000000000002E-2</v>
      </c>
      <c r="F244" s="72">
        <f t="shared" si="59"/>
        <v>174.07816440985425</v>
      </c>
      <c r="G244" s="72">
        <f t="shared" si="70"/>
        <v>608.3988457326999</v>
      </c>
      <c r="H244" s="72">
        <f>IFERROR(-PMT(E244^1/12,Dashboard!$I$30-A244,B244),0)</f>
        <v>782.47701014255415</v>
      </c>
      <c r="I244" s="75">
        <f t="shared" si="60"/>
        <v>782.47701014255415</v>
      </c>
      <c r="J244" s="76">
        <f t="shared" si="71"/>
        <v>89380.715506324312</v>
      </c>
      <c r="K244" s="76">
        <f>J244*Dashboard!$K$26/12</f>
        <v>199.61693129745765</v>
      </c>
      <c r="L244" s="76">
        <f t="shared" si="61"/>
        <v>609.4689112798975</v>
      </c>
      <c r="M244" s="76">
        <f>IF(H244=0,0,IFERROR(-PMT(Dashboard!$K$26^1/12,Dashboard!$I$30,Dashboard!$I$26),0))</f>
        <v>809.08584257735515</v>
      </c>
      <c r="P244" s="59">
        <v>233</v>
      </c>
      <c r="Q244" s="28">
        <f t="shared" si="62"/>
        <v>0</v>
      </c>
      <c r="R244" s="20">
        <f>Q244/Dashboard!$I$25</f>
        <v>0</v>
      </c>
      <c r="S244" s="20">
        <f t="shared" si="63"/>
        <v>0</v>
      </c>
      <c r="T244" s="20">
        <f>IF($D$2="JA",Dashboard!$K$27-$S$11+S244,Dashboard!$K$27)</f>
        <v>2.6800000000000001E-2</v>
      </c>
      <c r="U244" s="27">
        <f t="shared" si="64"/>
        <v>0</v>
      </c>
      <c r="V244" s="26">
        <f>IF(Q244&lt;=1,0,Dashboard!$I$27/Dashboard!$I$30)</f>
        <v>0</v>
      </c>
      <c r="W244" s="28">
        <f>Q244*Dashboard!$K$27/12</f>
        <v>0</v>
      </c>
      <c r="Y244" s="59">
        <v>233</v>
      </c>
      <c r="Z244" s="67">
        <f>Dashboard!$I$28</f>
        <v>0</v>
      </c>
      <c r="AA244" s="64">
        <f>IF(Z244&lt;=1,0,Dashboard!$I$30-Y244)</f>
        <v>0</v>
      </c>
      <c r="AB244" s="64">
        <f t="shared" si="65"/>
        <v>0</v>
      </c>
      <c r="AC244" s="1">
        <f>Dashboard!$K$28</f>
        <v>2.6800000000000001E-2</v>
      </c>
      <c r="AD244" s="28">
        <f t="shared" si="66"/>
        <v>0</v>
      </c>
      <c r="AF244" s="2">
        <f t="shared" si="67"/>
        <v>87770.503063792057</v>
      </c>
      <c r="AG244" s="62">
        <f>(B244+Q244+Z244)/Dashboard!$I$25</f>
        <v>0.35108201225516822</v>
      </c>
      <c r="AH244" s="20">
        <f t="shared" si="68"/>
        <v>0</v>
      </c>
      <c r="AI244" s="20">
        <f>IF($D$2="JA",Dashboard!$K$26-$AH$11+AH244,Dashboard!$K$26)</f>
        <v>2.3800000000000002E-2</v>
      </c>
      <c r="AJ244" s="27">
        <f>Tabel2[[#This Row],[Schuldrest]]*AI244/12</f>
        <v>174.07816440985425</v>
      </c>
      <c r="AK244" s="20">
        <f>IF($D$2="JA",Dashboard!$K$27-$AH$11+AH244,Dashboard!$K$27)</f>
        <v>2.3800000000000002E-2</v>
      </c>
      <c r="AL244" s="27">
        <f t="shared" si="54"/>
        <v>0</v>
      </c>
      <c r="AM244" s="20">
        <f>IF($D$2="JA",Dashboard!$K$28-$AH$11+AH244,Dashboard!$K$28)</f>
        <v>2.3800000000000002E-2</v>
      </c>
      <c r="AN244" s="27">
        <f t="shared" si="55"/>
        <v>0</v>
      </c>
      <c r="AO244" s="63">
        <f>Tabel2[[#This Row],[Aflossing]]+V244</f>
        <v>608.3988457326999</v>
      </c>
      <c r="AP244" s="63">
        <f t="shared" si="69"/>
        <v>174.07816440985425</v>
      </c>
      <c r="AQ244" s="2">
        <f t="shared" si="56"/>
        <v>199.61693129745765</v>
      </c>
      <c r="AU244" s="20"/>
      <c r="AV244" s="20"/>
    </row>
    <row r="245" spans="1:48">
      <c r="A245" s="71">
        <v>234</v>
      </c>
      <c r="B245" s="77">
        <f t="shared" si="57"/>
        <v>87162.10421805935</v>
      </c>
      <c r="C245" s="73">
        <f>B245/Dashboard!$I$25</f>
        <v>0.34864841687223741</v>
      </c>
      <c r="D245" s="74">
        <f t="shared" si="58"/>
        <v>0</v>
      </c>
      <c r="E245" s="73">
        <f>IF($D$2="JA",Dashboard!$K$26-$D$11+D245,Dashboard!$K$26)</f>
        <v>2.3800000000000002E-2</v>
      </c>
      <c r="F245" s="72">
        <f t="shared" si="59"/>
        <v>172.87150669915104</v>
      </c>
      <c r="G245" s="72">
        <f t="shared" si="70"/>
        <v>609.60550344340288</v>
      </c>
      <c r="H245" s="72">
        <f>IFERROR(-PMT(E245^1/12,Dashboard!$I$30-A245,B245),0)</f>
        <v>782.47701014255392</v>
      </c>
      <c r="I245" s="75">
        <f t="shared" si="60"/>
        <v>782.47701014255392</v>
      </c>
      <c r="J245" s="76">
        <f t="shared" si="71"/>
        <v>88771.246595044417</v>
      </c>
      <c r="K245" s="76">
        <f>J245*Dashboard!$K$26/12</f>
        <v>198.25578406226589</v>
      </c>
      <c r="L245" s="76">
        <f t="shared" si="61"/>
        <v>610.83005851508926</v>
      </c>
      <c r="M245" s="76">
        <f>IF(H245=0,0,IFERROR(-PMT(Dashboard!$K$26^1/12,Dashboard!$I$30,Dashboard!$I$26),0))</f>
        <v>809.08584257735515</v>
      </c>
      <c r="P245" s="59">
        <v>234</v>
      </c>
      <c r="Q245" s="28">
        <f t="shared" si="62"/>
        <v>0</v>
      </c>
      <c r="R245" s="20">
        <f>Q245/Dashboard!$I$25</f>
        <v>0</v>
      </c>
      <c r="S245" s="20">
        <f t="shared" si="63"/>
        <v>0</v>
      </c>
      <c r="T245" s="20">
        <f>IF($D$2="JA",Dashboard!$K$27-$S$11+S245,Dashboard!$K$27)</f>
        <v>2.6800000000000001E-2</v>
      </c>
      <c r="U245" s="27">
        <f t="shared" si="64"/>
        <v>0</v>
      </c>
      <c r="V245" s="26">
        <f>IF(Q245&lt;=1,0,Dashboard!$I$27/Dashboard!$I$30)</f>
        <v>0</v>
      </c>
      <c r="W245" s="28">
        <f>Q245*Dashboard!$K$27/12</f>
        <v>0</v>
      </c>
      <c r="Y245" s="59">
        <v>234</v>
      </c>
      <c r="Z245" s="67">
        <f>Dashboard!$I$28</f>
        <v>0</v>
      </c>
      <c r="AA245" s="64">
        <f>IF(Z245&lt;=1,0,Dashboard!$I$30-Y245)</f>
        <v>0</v>
      </c>
      <c r="AB245" s="64">
        <f t="shared" si="65"/>
        <v>0</v>
      </c>
      <c r="AC245" s="1">
        <f>Dashboard!$K$28</f>
        <v>2.6800000000000001E-2</v>
      </c>
      <c r="AD245" s="28">
        <f t="shared" si="66"/>
        <v>0</v>
      </c>
      <c r="AF245" s="2">
        <f t="shared" si="67"/>
        <v>87162.10421805935</v>
      </c>
      <c r="AG245" s="62">
        <f>(B245+Q245+Z245)/Dashboard!$I$25</f>
        <v>0.34864841687223741</v>
      </c>
      <c r="AH245" s="20">
        <f t="shared" si="68"/>
        <v>0</v>
      </c>
      <c r="AI245" s="20">
        <f>IF($D$2="JA",Dashboard!$K$26-$AH$11+AH245,Dashboard!$K$26)</f>
        <v>2.3800000000000002E-2</v>
      </c>
      <c r="AJ245" s="27">
        <f>Tabel2[[#This Row],[Schuldrest]]*AI245/12</f>
        <v>172.87150669915104</v>
      </c>
      <c r="AK245" s="20">
        <f>IF($D$2="JA",Dashboard!$K$27-$AH$11+AH245,Dashboard!$K$27)</f>
        <v>2.3800000000000002E-2</v>
      </c>
      <c r="AL245" s="27">
        <f t="shared" si="54"/>
        <v>0</v>
      </c>
      <c r="AM245" s="20">
        <f>IF($D$2="JA",Dashboard!$K$28-$AH$11+AH245,Dashboard!$K$28)</f>
        <v>2.3800000000000002E-2</v>
      </c>
      <c r="AN245" s="27">
        <f t="shared" si="55"/>
        <v>0</v>
      </c>
      <c r="AO245" s="63">
        <f>Tabel2[[#This Row],[Aflossing]]+V245</f>
        <v>609.60550344340288</v>
      </c>
      <c r="AP245" s="63">
        <f t="shared" si="69"/>
        <v>172.87150669915104</v>
      </c>
      <c r="AQ245" s="2">
        <f t="shared" si="56"/>
        <v>198.25578406226589</v>
      </c>
      <c r="AU245" s="20"/>
      <c r="AV245" s="20"/>
    </row>
    <row r="246" spans="1:48">
      <c r="A246" s="71">
        <v>235</v>
      </c>
      <c r="B246" s="77">
        <f t="shared" si="57"/>
        <v>86552.498714615955</v>
      </c>
      <c r="C246" s="73">
        <f>B246/Dashboard!$I$25</f>
        <v>0.34620999485846382</v>
      </c>
      <c r="D246" s="74">
        <f t="shared" si="58"/>
        <v>0</v>
      </c>
      <c r="E246" s="73">
        <f>IF($D$2="JA",Dashboard!$K$26-$D$11+D246,Dashboard!$K$26)</f>
        <v>2.3800000000000002E-2</v>
      </c>
      <c r="F246" s="72">
        <f t="shared" si="59"/>
        <v>171.66245578398832</v>
      </c>
      <c r="G246" s="72">
        <f t="shared" si="70"/>
        <v>610.81455435856583</v>
      </c>
      <c r="H246" s="72">
        <f>IFERROR(-PMT(E246^1/12,Dashboard!$I$30-A246,B246),0)</f>
        <v>782.47701014255415</v>
      </c>
      <c r="I246" s="75">
        <f t="shared" si="60"/>
        <v>782.47701014255415</v>
      </c>
      <c r="J246" s="76">
        <f t="shared" si="71"/>
        <v>88160.41653652933</v>
      </c>
      <c r="K246" s="76">
        <f>J246*Dashboard!$K$26/12</f>
        <v>196.89159693158217</v>
      </c>
      <c r="L246" s="76">
        <f t="shared" si="61"/>
        <v>612.19424564577298</v>
      </c>
      <c r="M246" s="76">
        <f>IF(H246=0,0,IFERROR(-PMT(Dashboard!$K$26^1/12,Dashboard!$I$30,Dashboard!$I$26),0))</f>
        <v>809.08584257735515</v>
      </c>
      <c r="P246" s="59">
        <v>235</v>
      </c>
      <c r="Q246" s="28">
        <f t="shared" si="62"/>
        <v>0</v>
      </c>
      <c r="R246" s="20">
        <f>Q246/Dashboard!$I$25</f>
        <v>0</v>
      </c>
      <c r="S246" s="20">
        <f t="shared" si="63"/>
        <v>0</v>
      </c>
      <c r="T246" s="20">
        <f>IF($D$2="JA",Dashboard!$K$27-$S$11+S246,Dashboard!$K$27)</f>
        <v>2.6800000000000001E-2</v>
      </c>
      <c r="U246" s="27">
        <f t="shared" si="64"/>
        <v>0</v>
      </c>
      <c r="V246" s="26">
        <f>IF(Q246&lt;=1,0,Dashboard!$I$27/Dashboard!$I$30)</f>
        <v>0</v>
      </c>
      <c r="W246" s="28">
        <f>Q246*Dashboard!$K$27/12</f>
        <v>0</v>
      </c>
      <c r="Y246" s="59">
        <v>235</v>
      </c>
      <c r="Z246" s="67">
        <f>Dashboard!$I$28</f>
        <v>0</v>
      </c>
      <c r="AA246" s="64">
        <f>IF(Z246&lt;=1,0,Dashboard!$I$30-Y246)</f>
        <v>0</v>
      </c>
      <c r="AB246" s="64">
        <f t="shared" si="65"/>
        <v>0</v>
      </c>
      <c r="AC246" s="1">
        <f>Dashboard!$K$28</f>
        <v>2.6800000000000001E-2</v>
      </c>
      <c r="AD246" s="28">
        <f t="shared" si="66"/>
        <v>0</v>
      </c>
      <c r="AF246" s="2">
        <f t="shared" si="67"/>
        <v>86552.498714615955</v>
      </c>
      <c r="AG246" s="62">
        <f>(B246+Q246+Z246)/Dashboard!$I$25</f>
        <v>0.34620999485846382</v>
      </c>
      <c r="AH246" s="20">
        <f t="shared" si="68"/>
        <v>0</v>
      </c>
      <c r="AI246" s="20">
        <f>IF($D$2="JA",Dashboard!$K$26-$AH$11+AH246,Dashboard!$K$26)</f>
        <v>2.3800000000000002E-2</v>
      </c>
      <c r="AJ246" s="27">
        <f>Tabel2[[#This Row],[Schuldrest]]*AI246/12</f>
        <v>171.66245578398832</v>
      </c>
      <c r="AK246" s="20">
        <f>IF($D$2="JA",Dashboard!$K$27-$AH$11+AH246,Dashboard!$K$27)</f>
        <v>2.3800000000000002E-2</v>
      </c>
      <c r="AL246" s="27">
        <f t="shared" si="54"/>
        <v>0</v>
      </c>
      <c r="AM246" s="20">
        <f>IF($D$2="JA",Dashboard!$K$28-$AH$11+AH246,Dashboard!$K$28)</f>
        <v>2.3800000000000002E-2</v>
      </c>
      <c r="AN246" s="27">
        <f t="shared" si="55"/>
        <v>0</v>
      </c>
      <c r="AO246" s="63">
        <f>Tabel2[[#This Row],[Aflossing]]+V246</f>
        <v>610.81455435856583</v>
      </c>
      <c r="AP246" s="63">
        <f t="shared" si="69"/>
        <v>171.66245578398832</v>
      </c>
      <c r="AQ246" s="2">
        <f t="shared" si="56"/>
        <v>196.89159693158217</v>
      </c>
      <c r="AU246" s="20"/>
      <c r="AV246" s="20"/>
    </row>
    <row r="247" spans="1:48">
      <c r="A247" s="71">
        <v>236</v>
      </c>
      <c r="B247" s="77">
        <f t="shared" si="57"/>
        <v>85941.684160257384</v>
      </c>
      <c r="C247" s="73">
        <f>B247/Dashboard!$I$25</f>
        <v>0.34376673664102952</v>
      </c>
      <c r="D247" s="74">
        <f t="shared" si="58"/>
        <v>0</v>
      </c>
      <c r="E247" s="73">
        <f>IF($D$2="JA",Dashboard!$K$26-$D$11+D247,Dashboard!$K$26)</f>
        <v>2.3800000000000002E-2</v>
      </c>
      <c r="F247" s="72">
        <f t="shared" si="59"/>
        <v>170.45100691784384</v>
      </c>
      <c r="G247" s="72">
        <f t="shared" si="70"/>
        <v>612.02600322471017</v>
      </c>
      <c r="H247" s="72">
        <f>IFERROR(-PMT(E247^1/12,Dashboard!$I$30-A247,B247),0)</f>
        <v>782.47701014255404</v>
      </c>
      <c r="I247" s="75">
        <f t="shared" si="60"/>
        <v>782.47701014255404</v>
      </c>
      <c r="J247" s="76">
        <f t="shared" si="71"/>
        <v>87548.222290883554</v>
      </c>
      <c r="K247" s="76">
        <f>J247*Dashboard!$K$26/12</f>
        <v>195.5243631163066</v>
      </c>
      <c r="L247" s="76">
        <f t="shared" si="61"/>
        <v>613.56147946104852</v>
      </c>
      <c r="M247" s="76">
        <f>IF(H247=0,0,IFERROR(-PMT(Dashboard!$K$26^1/12,Dashboard!$I$30,Dashboard!$I$26),0))</f>
        <v>809.08584257735515</v>
      </c>
      <c r="P247" s="59">
        <v>236</v>
      </c>
      <c r="Q247" s="28">
        <f t="shared" si="62"/>
        <v>0</v>
      </c>
      <c r="R247" s="20">
        <f>Q247/Dashboard!$I$25</f>
        <v>0</v>
      </c>
      <c r="S247" s="20">
        <f t="shared" si="63"/>
        <v>0</v>
      </c>
      <c r="T247" s="20">
        <f>IF($D$2="JA",Dashboard!$K$27-$S$11+S247,Dashboard!$K$27)</f>
        <v>2.6800000000000001E-2</v>
      </c>
      <c r="U247" s="27">
        <f t="shared" si="64"/>
        <v>0</v>
      </c>
      <c r="V247" s="26">
        <f>IF(Q247&lt;=1,0,Dashboard!$I$27/Dashboard!$I$30)</f>
        <v>0</v>
      </c>
      <c r="W247" s="28">
        <f>Q247*Dashboard!$K$27/12</f>
        <v>0</v>
      </c>
      <c r="Y247" s="59">
        <v>236</v>
      </c>
      <c r="Z247" s="67">
        <f>Dashboard!$I$28</f>
        <v>0</v>
      </c>
      <c r="AA247" s="64">
        <f>IF(Z247&lt;=1,0,Dashboard!$I$30-Y247)</f>
        <v>0</v>
      </c>
      <c r="AB247" s="64">
        <f t="shared" si="65"/>
        <v>0</v>
      </c>
      <c r="AC247" s="1">
        <f>Dashboard!$K$28</f>
        <v>2.6800000000000001E-2</v>
      </c>
      <c r="AD247" s="28">
        <f t="shared" si="66"/>
        <v>0</v>
      </c>
      <c r="AF247" s="2">
        <f t="shared" si="67"/>
        <v>85941.684160257384</v>
      </c>
      <c r="AG247" s="62">
        <f>(B247+Q247+Z247)/Dashboard!$I$25</f>
        <v>0.34376673664102952</v>
      </c>
      <c r="AH247" s="20">
        <f t="shared" si="68"/>
        <v>0</v>
      </c>
      <c r="AI247" s="20">
        <f>IF($D$2="JA",Dashboard!$K$26-$AH$11+AH247,Dashboard!$K$26)</f>
        <v>2.3800000000000002E-2</v>
      </c>
      <c r="AJ247" s="27">
        <f>Tabel2[[#This Row],[Schuldrest]]*AI247/12</f>
        <v>170.45100691784384</v>
      </c>
      <c r="AK247" s="20">
        <f>IF($D$2="JA",Dashboard!$K$27-$AH$11+AH247,Dashboard!$K$27)</f>
        <v>2.3800000000000002E-2</v>
      </c>
      <c r="AL247" s="27">
        <f t="shared" si="54"/>
        <v>0</v>
      </c>
      <c r="AM247" s="20">
        <f>IF($D$2="JA",Dashboard!$K$28-$AH$11+AH247,Dashboard!$K$28)</f>
        <v>2.3800000000000002E-2</v>
      </c>
      <c r="AN247" s="27">
        <f t="shared" si="55"/>
        <v>0</v>
      </c>
      <c r="AO247" s="63">
        <f>Tabel2[[#This Row],[Aflossing]]+V247</f>
        <v>612.02600322471017</v>
      </c>
      <c r="AP247" s="63">
        <f t="shared" si="69"/>
        <v>170.45100691784384</v>
      </c>
      <c r="AQ247" s="2">
        <f t="shared" si="56"/>
        <v>195.5243631163066</v>
      </c>
      <c r="AU247" s="20"/>
      <c r="AV247" s="20"/>
    </row>
    <row r="248" spans="1:48">
      <c r="A248" s="71">
        <v>237</v>
      </c>
      <c r="B248" s="77">
        <f t="shared" si="57"/>
        <v>85329.658157032667</v>
      </c>
      <c r="C248" s="73">
        <f>B248/Dashboard!$I$25</f>
        <v>0.34131863262813067</v>
      </c>
      <c r="D248" s="74">
        <f t="shared" si="58"/>
        <v>0</v>
      </c>
      <c r="E248" s="73">
        <f>IF($D$2="JA",Dashboard!$K$26-$D$11+D248,Dashboard!$K$26)</f>
        <v>2.3800000000000002E-2</v>
      </c>
      <c r="F248" s="72">
        <f t="shared" si="59"/>
        <v>169.23715534478148</v>
      </c>
      <c r="G248" s="72">
        <f t="shared" si="70"/>
        <v>613.23985479777252</v>
      </c>
      <c r="H248" s="72">
        <f>IFERROR(-PMT(E248^1/12,Dashboard!$I$30-A248,B248),0)</f>
        <v>782.47701014255404</v>
      </c>
      <c r="I248" s="75">
        <f t="shared" si="60"/>
        <v>782.47701014255404</v>
      </c>
      <c r="J248" s="76">
        <f t="shared" si="71"/>
        <v>86934.660811422509</v>
      </c>
      <c r="K248" s="76">
        <f>J248*Dashboard!$K$26/12</f>
        <v>194.15407581217696</v>
      </c>
      <c r="L248" s="76">
        <f t="shared" si="61"/>
        <v>614.93176676517817</v>
      </c>
      <c r="M248" s="76">
        <f>IF(H248=0,0,IFERROR(-PMT(Dashboard!$K$26^1/12,Dashboard!$I$30,Dashboard!$I$26),0))</f>
        <v>809.08584257735515</v>
      </c>
      <c r="P248" s="59">
        <v>237</v>
      </c>
      <c r="Q248" s="28">
        <f t="shared" si="62"/>
        <v>0</v>
      </c>
      <c r="R248" s="20">
        <f>Q248/Dashboard!$I$25</f>
        <v>0</v>
      </c>
      <c r="S248" s="20">
        <f t="shared" si="63"/>
        <v>0</v>
      </c>
      <c r="T248" s="20">
        <f>IF($D$2="JA",Dashboard!$K$27-$S$11+S248,Dashboard!$K$27)</f>
        <v>2.6800000000000001E-2</v>
      </c>
      <c r="U248" s="27">
        <f t="shared" si="64"/>
        <v>0</v>
      </c>
      <c r="V248" s="26">
        <f>IF(Q248&lt;=1,0,Dashboard!$I$27/Dashboard!$I$30)</f>
        <v>0</v>
      </c>
      <c r="W248" s="28">
        <f>Q248*Dashboard!$K$27/12</f>
        <v>0</v>
      </c>
      <c r="Y248" s="59">
        <v>237</v>
      </c>
      <c r="Z248" s="67">
        <f>Dashboard!$I$28</f>
        <v>0</v>
      </c>
      <c r="AA248" s="64">
        <f>IF(Z248&lt;=1,0,Dashboard!$I$30-Y248)</f>
        <v>0</v>
      </c>
      <c r="AB248" s="64">
        <f t="shared" si="65"/>
        <v>0</v>
      </c>
      <c r="AC248" s="1">
        <f>Dashboard!$K$28</f>
        <v>2.6800000000000001E-2</v>
      </c>
      <c r="AD248" s="28">
        <f t="shared" si="66"/>
        <v>0</v>
      </c>
      <c r="AF248" s="2">
        <f t="shared" si="67"/>
        <v>85329.658157032667</v>
      </c>
      <c r="AG248" s="62">
        <f>(B248+Q248+Z248)/Dashboard!$I$25</f>
        <v>0.34131863262813067</v>
      </c>
      <c r="AH248" s="20">
        <f t="shared" si="68"/>
        <v>0</v>
      </c>
      <c r="AI248" s="20">
        <f>IF($D$2="JA",Dashboard!$K$26-$AH$11+AH248,Dashboard!$K$26)</f>
        <v>2.3800000000000002E-2</v>
      </c>
      <c r="AJ248" s="27">
        <f>Tabel2[[#This Row],[Schuldrest]]*AI248/12</f>
        <v>169.23715534478148</v>
      </c>
      <c r="AK248" s="20">
        <f>IF($D$2="JA",Dashboard!$K$27-$AH$11+AH248,Dashboard!$K$27)</f>
        <v>2.3800000000000002E-2</v>
      </c>
      <c r="AL248" s="27">
        <f t="shared" si="54"/>
        <v>0</v>
      </c>
      <c r="AM248" s="20">
        <f>IF($D$2="JA",Dashboard!$K$28-$AH$11+AH248,Dashboard!$K$28)</f>
        <v>2.3800000000000002E-2</v>
      </c>
      <c r="AN248" s="27">
        <f t="shared" si="55"/>
        <v>0</v>
      </c>
      <c r="AO248" s="63">
        <f>Tabel2[[#This Row],[Aflossing]]+V248</f>
        <v>613.23985479777252</v>
      </c>
      <c r="AP248" s="63">
        <f t="shared" si="69"/>
        <v>169.23715534478148</v>
      </c>
      <c r="AQ248" s="2">
        <f t="shared" si="56"/>
        <v>194.15407581217696</v>
      </c>
      <c r="AU248" s="20"/>
      <c r="AV248" s="20"/>
    </row>
    <row r="249" spans="1:48">
      <c r="A249" s="71">
        <v>238</v>
      </c>
      <c r="B249" s="77">
        <f t="shared" si="57"/>
        <v>84716.418302234888</v>
      </c>
      <c r="C249" s="73">
        <f>B249/Dashboard!$I$25</f>
        <v>0.33886567320893957</v>
      </c>
      <c r="D249" s="74">
        <f t="shared" si="58"/>
        <v>0</v>
      </c>
      <c r="E249" s="73">
        <f>IF($D$2="JA",Dashboard!$K$26-$D$11+D249,Dashboard!$K$26)</f>
        <v>2.3800000000000002E-2</v>
      </c>
      <c r="F249" s="72">
        <f t="shared" si="59"/>
        <v>168.02089629943254</v>
      </c>
      <c r="G249" s="72">
        <f t="shared" si="70"/>
        <v>614.45611384312133</v>
      </c>
      <c r="H249" s="72">
        <f>IFERROR(-PMT(E249^1/12,Dashboard!$I$30-A249,B249),0)</f>
        <v>782.47701014255381</v>
      </c>
      <c r="I249" s="75">
        <f t="shared" si="60"/>
        <v>782.47701014255381</v>
      </c>
      <c r="J249" s="76">
        <f t="shared" si="71"/>
        <v>86319.729044657332</v>
      </c>
      <c r="K249" s="76">
        <f>J249*Dashboard!$K$26/12</f>
        <v>192.78072819973474</v>
      </c>
      <c r="L249" s="76">
        <f t="shared" si="61"/>
        <v>616.30511437762038</v>
      </c>
      <c r="M249" s="76">
        <f>IF(H249=0,0,IFERROR(-PMT(Dashboard!$K$26^1/12,Dashboard!$I$30,Dashboard!$I$26),0))</f>
        <v>809.08584257735515</v>
      </c>
      <c r="P249" s="59">
        <v>238</v>
      </c>
      <c r="Q249" s="28">
        <f t="shared" si="62"/>
        <v>0</v>
      </c>
      <c r="R249" s="20">
        <f>Q249/Dashboard!$I$25</f>
        <v>0</v>
      </c>
      <c r="S249" s="20">
        <f t="shared" si="63"/>
        <v>0</v>
      </c>
      <c r="T249" s="20">
        <f>IF($D$2="JA",Dashboard!$K$27-$S$11+S249,Dashboard!$K$27)</f>
        <v>2.6800000000000001E-2</v>
      </c>
      <c r="U249" s="27">
        <f t="shared" si="64"/>
        <v>0</v>
      </c>
      <c r="V249" s="26">
        <f>IF(Q249&lt;=1,0,Dashboard!$I$27/Dashboard!$I$30)</f>
        <v>0</v>
      </c>
      <c r="W249" s="28">
        <f>Q249*Dashboard!$K$27/12</f>
        <v>0</v>
      </c>
      <c r="Y249" s="59">
        <v>238</v>
      </c>
      <c r="Z249" s="67">
        <f>Dashboard!$I$28</f>
        <v>0</v>
      </c>
      <c r="AA249" s="64">
        <f>IF(Z249&lt;=1,0,Dashboard!$I$30-Y249)</f>
        <v>0</v>
      </c>
      <c r="AB249" s="64">
        <f t="shared" si="65"/>
        <v>0</v>
      </c>
      <c r="AC249" s="1">
        <f>Dashboard!$K$28</f>
        <v>2.6800000000000001E-2</v>
      </c>
      <c r="AD249" s="28">
        <f t="shared" si="66"/>
        <v>0</v>
      </c>
      <c r="AF249" s="2">
        <f t="shared" si="67"/>
        <v>84716.418302234888</v>
      </c>
      <c r="AG249" s="62">
        <f>(B249+Q249+Z249)/Dashboard!$I$25</f>
        <v>0.33886567320893957</v>
      </c>
      <c r="AH249" s="20">
        <f t="shared" si="68"/>
        <v>0</v>
      </c>
      <c r="AI249" s="20">
        <f>IF($D$2="JA",Dashboard!$K$26-$AH$11+AH249,Dashboard!$K$26)</f>
        <v>2.3800000000000002E-2</v>
      </c>
      <c r="AJ249" s="27">
        <f>Tabel2[[#This Row],[Schuldrest]]*AI249/12</f>
        <v>168.02089629943254</v>
      </c>
      <c r="AK249" s="20">
        <f>IF($D$2="JA",Dashboard!$K$27-$AH$11+AH249,Dashboard!$K$27)</f>
        <v>2.3800000000000002E-2</v>
      </c>
      <c r="AL249" s="27">
        <f t="shared" si="54"/>
        <v>0</v>
      </c>
      <c r="AM249" s="20">
        <f>IF($D$2="JA",Dashboard!$K$28-$AH$11+AH249,Dashboard!$K$28)</f>
        <v>2.3800000000000002E-2</v>
      </c>
      <c r="AN249" s="27">
        <f t="shared" si="55"/>
        <v>0</v>
      </c>
      <c r="AO249" s="63">
        <f>Tabel2[[#This Row],[Aflossing]]+V249</f>
        <v>614.45611384312133</v>
      </c>
      <c r="AP249" s="63">
        <f t="shared" si="69"/>
        <v>168.02089629943254</v>
      </c>
      <c r="AQ249" s="2">
        <f t="shared" si="56"/>
        <v>192.78072819973474</v>
      </c>
      <c r="AU249" s="20"/>
      <c r="AV249" s="20"/>
    </row>
    <row r="250" spans="1:48">
      <c r="A250" s="71">
        <v>239</v>
      </c>
      <c r="B250" s="77">
        <f t="shared" si="57"/>
        <v>84101.962188391772</v>
      </c>
      <c r="C250" s="73">
        <f>B250/Dashboard!$I$25</f>
        <v>0.33640784875356711</v>
      </c>
      <c r="D250" s="74">
        <f t="shared" si="58"/>
        <v>0</v>
      </c>
      <c r="E250" s="73">
        <f>IF($D$2="JA",Dashboard!$K$26-$D$11+D250,Dashboard!$K$26)</f>
        <v>2.3800000000000002E-2</v>
      </c>
      <c r="F250" s="72">
        <f t="shared" si="59"/>
        <v>166.80222500697701</v>
      </c>
      <c r="G250" s="72">
        <f t="shared" si="70"/>
        <v>615.67478513557705</v>
      </c>
      <c r="H250" s="72">
        <f>IFERROR(-PMT(E250^1/12,Dashboard!$I$30-A250,B250),0)</f>
        <v>782.47701014255404</v>
      </c>
      <c r="I250" s="75">
        <f t="shared" si="60"/>
        <v>782.47701014255404</v>
      </c>
      <c r="J250" s="76">
        <f t="shared" si="71"/>
        <v>85703.423930279707</v>
      </c>
      <c r="K250" s="76">
        <f>J250*Dashboard!$K$26/12</f>
        <v>191.40431344429135</v>
      </c>
      <c r="L250" s="76">
        <f t="shared" si="61"/>
        <v>617.6815291330638</v>
      </c>
      <c r="M250" s="76">
        <f>IF(H250=0,0,IFERROR(-PMT(Dashboard!$K$26^1/12,Dashboard!$I$30,Dashboard!$I$26),0))</f>
        <v>809.08584257735515</v>
      </c>
      <c r="P250" s="59">
        <v>239</v>
      </c>
      <c r="Q250" s="28">
        <f t="shared" si="62"/>
        <v>0</v>
      </c>
      <c r="R250" s="20">
        <f>Q250/Dashboard!$I$25</f>
        <v>0</v>
      </c>
      <c r="S250" s="20">
        <f t="shared" si="63"/>
        <v>0</v>
      </c>
      <c r="T250" s="20">
        <f>IF($D$2="JA",Dashboard!$K$27-$S$11+S250,Dashboard!$K$27)</f>
        <v>2.6800000000000001E-2</v>
      </c>
      <c r="U250" s="27">
        <f t="shared" si="64"/>
        <v>0</v>
      </c>
      <c r="V250" s="26">
        <f>IF(Q250&lt;=1,0,Dashboard!$I$27/Dashboard!$I$30)</f>
        <v>0</v>
      </c>
      <c r="W250" s="28">
        <f>Q250*Dashboard!$K$27/12</f>
        <v>0</v>
      </c>
      <c r="Y250" s="59">
        <v>239</v>
      </c>
      <c r="Z250" s="67">
        <f>Dashboard!$I$28</f>
        <v>0</v>
      </c>
      <c r="AA250" s="64">
        <f>IF(Z250&lt;=1,0,Dashboard!$I$30-Y250)</f>
        <v>0</v>
      </c>
      <c r="AB250" s="64">
        <f t="shared" si="65"/>
        <v>0</v>
      </c>
      <c r="AC250" s="1">
        <f>Dashboard!$K$28</f>
        <v>2.6800000000000001E-2</v>
      </c>
      <c r="AD250" s="28">
        <f t="shared" si="66"/>
        <v>0</v>
      </c>
      <c r="AF250" s="2">
        <f t="shared" si="67"/>
        <v>84101.962188391772</v>
      </c>
      <c r="AG250" s="62">
        <f>(B250+Q250+Z250)/Dashboard!$I$25</f>
        <v>0.33640784875356711</v>
      </c>
      <c r="AH250" s="20">
        <f t="shared" si="68"/>
        <v>0</v>
      </c>
      <c r="AI250" s="20">
        <f>IF($D$2="JA",Dashboard!$K$26-$AH$11+AH250,Dashboard!$K$26)</f>
        <v>2.3800000000000002E-2</v>
      </c>
      <c r="AJ250" s="27">
        <f>Tabel2[[#This Row],[Schuldrest]]*AI250/12</f>
        <v>166.80222500697701</v>
      </c>
      <c r="AK250" s="20">
        <f>IF($D$2="JA",Dashboard!$K$27-$AH$11+AH250,Dashboard!$K$27)</f>
        <v>2.3800000000000002E-2</v>
      </c>
      <c r="AL250" s="27">
        <f t="shared" si="54"/>
        <v>0</v>
      </c>
      <c r="AM250" s="20">
        <f>IF($D$2="JA",Dashboard!$K$28-$AH$11+AH250,Dashboard!$K$28)</f>
        <v>2.3800000000000002E-2</v>
      </c>
      <c r="AN250" s="27">
        <f t="shared" si="55"/>
        <v>0</v>
      </c>
      <c r="AO250" s="63">
        <f>Tabel2[[#This Row],[Aflossing]]+V250</f>
        <v>615.67478513557705</v>
      </c>
      <c r="AP250" s="63">
        <f>AJ250+AL250+AN250</f>
        <v>166.80222500697701</v>
      </c>
      <c r="AQ250" s="2">
        <f t="shared" si="56"/>
        <v>191.40431344429135</v>
      </c>
      <c r="AU250" s="20"/>
      <c r="AV250" s="20"/>
    </row>
    <row r="251" spans="1:48">
      <c r="A251" s="71">
        <v>240</v>
      </c>
      <c r="B251" s="77">
        <f t="shared" si="57"/>
        <v>83486.287403256196</v>
      </c>
      <c r="C251" s="73">
        <f>B251/Dashboard!$I$25</f>
        <v>0.33394514961302479</v>
      </c>
      <c r="D251" s="74">
        <f t="shared" si="58"/>
        <v>0</v>
      </c>
      <c r="E251" s="73">
        <f>IF($D$2="JA",Dashboard!$K$26-$D$11+D251,Dashboard!$K$26)</f>
        <v>2.3800000000000002E-2</v>
      </c>
      <c r="F251" s="72">
        <f t="shared" si="59"/>
        <v>165.58113668312481</v>
      </c>
      <c r="G251" s="72">
        <f t="shared" si="70"/>
        <v>616.89587345942925</v>
      </c>
      <c r="H251" s="72">
        <f>IFERROR(-PMT(E251^1/12,Dashboard!$I$30-A251,B251),0)</f>
        <v>782.47701014255404</v>
      </c>
      <c r="I251" s="75">
        <f t="shared" si="60"/>
        <v>782.47701014255404</v>
      </c>
      <c r="J251" s="76">
        <f t="shared" si="71"/>
        <v>85085.74240114665</v>
      </c>
      <c r="K251" s="76">
        <f>J251*Dashboard!$K$26/12</f>
        <v>190.02482469589418</v>
      </c>
      <c r="L251" s="76">
        <f t="shared" si="61"/>
        <v>619.061017881461</v>
      </c>
      <c r="M251" s="76">
        <f>IF(H251=0,0,IFERROR(-PMT(Dashboard!$K$26^1/12,Dashboard!$I$30,Dashboard!$I$26),0))</f>
        <v>809.08584257735515</v>
      </c>
      <c r="P251" s="59">
        <v>240</v>
      </c>
      <c r="Q251" s="28">
        <f t="shared" si="62"/>
        <v>0</v>
      </c>
      <c r="R251" s="20">
        <f>Q251/Dashboard!$I$25</f>
        <v>0</v>
      </c>
      <c r="S251" s="20">
        <f t="shared" si="63"/>
        <v>0</v>
      </c>
      <c r="T251" s="20">
        <f>IF($D$2="JA",Dashboard!$K$27-$S$11+S251,Dashboard!$K$27)</f>
        <v>2.6800000000000001E-2</v>
      </c>
      <c r="U251" s="27">
        <f t="shared" si="64"/>
        <v>0</v>
      </c>
      <c r="V251" s="26">
        <f>IF(Q251&lt;=1,0,Dashboard!$I$27/Dashboard!$I$30)</f>
        <v>0</v>
      </c>
      <c r="W251" s="28">
        <f>Q251*Dashboard!$K$27/12</f>
        <v>0</v>
      </c>
      <c r="Y251" s="59">
        <v>240</v>
      </c>
      <c r="Z251" s="67">
        <f>Dashboard!$I$28</f>
        <v>0</v>
      </c>
      <c r="AA251" s="64">
        <f>IF(Z251&lt;=1,0,Dashboard!$I$30-Y251)</f>
        <v>0</v>
      </c>
      <c r="AB251" s="64">
        <f t="shared" si="65"/>
        <v>0</v>
      </c>
      <c r="AC251" s="1">
        <f>Dashboard!$K$28</f>
        <v>2.6800000000000001E-2</v>
      </c>
      <c r="AD251" s="28">
        <f t="shared" si="66"/>
        <v>0</v>
      </c>
      <c r="AF251" s="2">
        <f t="shared" si="67"/>
        <v>83486.287403256196</v>
      </c>
      <c r="AG251" s="62">
        <f>(B251+Q251+Z251)/Dashboard!$I$25</f>
        <v>0.33394514961302479</v>
      </c>
      <c r="AH251" s="20">
        <f t="shared" si="68"/>
        <v>0</v>
      </c>
      <c r="AI251" s="20">
        <f>IF($D$2="JA",Dashboard!$K$26-$AH$11+AH251,Dashboard!$K$26)</f>
        <v>2.3800000000000002E-2</v>
      </c>
      <c r="AJ251" s="27">
        <f>Tabel2[[#This Row],[Schuldrest]]*AI251/12</f>
        <v>165.58113668312481</v>
      </c>
      <c r="AK251" s="20">
        <f>IF($D$2="JA",Dashboard!$K$27-$AH$11+AH251,Dashboard!$K$27)</f>
        <v>2.3800000000000002E-2</v>
      </c>
      <c r="AL251" s="27">
        <f t="shared" si="54"/>
        <v>0</v>
      </c>
      <c r="AM251" s="20">
        <f>IF($D$2="JA",Dashboard!$K$28-$AH$11+AH251,Dashboard!$K$28)</f>
        <v>2.3800000000000002E-2</v>
      </c>
      <c r="AN251" s="27">
        <f t="shared" si="55"/>
        <v>0</v>
      </c>
      <c r="AO251" s="63">
        <f>Tabel2[[#This Row],[Aflossing]]+V251</f>
        <v>616.89587345942925</v>
      </c>
      <c r="AP251" s="63">
        <f t="shared" si="69"/>
        <v>165.58113668312481</v>
      </c>
      <c r="AQ251" s="2">
        <f t="shared" si="56"/>
        <v>190.02482469589418</v>
      </c>
      <c r="AU251" s="20"/>
      <c r="AV251" s="20"/>
    </row>
    <row r="252" spans="1:48">
      <c r="A252" s="71">
        <v>241</v>
      </c>
      <c r="B252" s="77">
        <f t="shared" si="57"/>
        <v>82869.391529796761</v>
      </c>
      <c r="C252" s="73">
        <f>B252/Dashboard!$I$25</f>
        <v>0.33147756611918705</v>
      </c>
      <c r="D252" s="74">
        <f t="shared" si="58"/>
        <v>0</v>
      </c>
      <c r="E252" s="73">
        <f>IF($D$2="JA",Dashboard!$K$26-$D$11+D252,Dashboard!$K$26)</f>
        <v>2.3800000000000002E-2</v>
      </c>
      <c r="F252" s="72">
        <f t="shared" si="59"/>
        <v>164.35762653409691</v>
      </c>
      <c r="G252" s="72">
        <f t="shared" si="70"/>
        <v>618.11938360845704</v>
      </c>
      <c r="H252" s="72">
        <f>IFERROR(-PMT(E252^1/12,Dashboard!$I$30-A252,B252),0)</f>
        <v>782.47701014255392</v>
      </c>
      <c r="I252" s="75">
        <f t="shared" si="60"/>
        <v>782.47701014255392</v>
      </c>
      <c r="J252" s="76">
        <f t="shared" si="71"/>
        <v>84466.681383265182</v>
      </c>
      <c r="K252" s="76">
        <f>J252*Dashboard!$K$26/12</f>
        <v>188.64225508929223</v>
      </c>
      <c r="L252" s="76">
        <f t="shared" si="61"/>
        <v>620.44358748806292</v>
      </c>
      <c r="M252" s="76">
        <f>IF(H252=0,0,IFERROR(-PMT(Dashboard!$K$26^1/12,Dashboard!$I$30,Dashboard!$I$26),0))</f>
        <v>809.08584257735515</v>
      </c>
      <c r="P252" s="59">
        <v>241</v>
      </c>
      <c r="Q252" s="28">
        <f t="shared" si="62"/>
        <v>0</v>
      </c>
      <c r="R252" s="20">
        <f>Q252/Dashboard!$I$25</f>
        <v>0</v>
      </c>
      <c r="S252" s="20">
        <f t="shared" si="63"/>
        <v>0</v>
      </c>
      <c r="T252" s="20">
        <f>IF($D$2="JA",Dashboard!$K$27-$S$11+S252,Dashboard!$K$27)</f>
        <v>2.6800000000000001E-2</v>
      </c>
      <c r="U252" s="27">
        <f t="shared" si="64"/>
        <v>0</v>
      </c>
      <c r="V252" s="26">
        <f>IF(Q252&lt;=1,0,Dashboard!$I$27/Dashboard!$I$30)</f>
        <v>0</v>
      </c>
      <c r="W252" s="28">
        <f>Q252*Dashboard!$K$27/12</f>
        <v>0</v>
      </c>
      <c r="Y252" s="59">
        <v>241</v>
      </c>
      <c r="Z252" s="67">
        <f>Dashboard!$I$28</f>
        <v>0</v>
      </c>
      <c r="AA252" s="64">
        <f>IF(Z252&lt;=1,0,Dashboard!$I$30-Y252)</f>
        <v>0</v>
      </c>
      <c r="AB252" s="64">
        <f t="shared" si="65"/>
        <v>0</v>
      </c>
      <c r="AC252" s="1">
        <f>Dashboard!$K$28</f>
        <v>2.6800000000000001E-2</v>
      </c>
      <c r="AD252" s="28">
        <f t="shared" si="66"/>
        <v>0</v>
      </c>
      <c r="AF252" s="2">
        <f t="shared" si="67"/>
        <v>82869.391529796761</v>
      </c>
      <c r="AG252" s="62">
        <f>(B252+Q252+Z252)/Dashboard!$I$25</f>
        <v>0.33147756611918705</v>
      </c>
      <c r="AH252" s="20">
        <f t="shared" si="68"/>
        <v>0</v>
      </c>
      <c r="AI252" s="20">
        <f>IF($D$2="JA",Dashboard!$K$26-$AH$11+AH252,Dashboard!$K$26)</f>
        <v>2.3800000000000002E-2</v>
      </c>
      <c r="AJ252" s="27">
        <f>Tabel2[[#This Row],[Schuldrest]]*AI252/12</f>
        <v>164.35762653409691</v>
      </c>
      <c r="AK252" s="20">
        <f>IF($D$2="JA",Dashboard!$K$27-$AH$11+AH252,Dashboard!$K$27)</f>
        <v>2.3800000000000002E-2</v>
      </c>
      <c r="AL252" s="27">
        <f t="shared" si="54"/>
        <v>0</v>
      </c>
      <c r="AM252" s="20">
        <f>IF($D$2="JA",Dashboard!$K$28-$AH$11+AH252,Dashboard!$K$28)</f>
        <v>2.3800000000000002E-2</v>
      </c>
      <c r="AN252" s="27">
        <f t="shared" si="55"/>
        <v>0</v>
      </c>
      <c r="AO252" s="63">
        <f>Tabel2[[#This Row],[Aflossing]]+V252</f>
        <v>618.11938360845704</v>
      </c>
      <c r="AP252" s="63">
        <f t="shared" si="69"/>
        <v>164.35762653409691</v>
      </c>
      <c r="AQ252" s="2">
        <f t="shared" si="56"/>
        <v>188.64225508929223</v>
      </c>
      <c r="AU252" s="20"/>
      <c r="AV252" s="20"/>
    </row>
    <row r="253" spans="1:48">
      <c r="A253" s="71">
        <v>242</v>
      </c>
      <c r="B253" s="77">
        <f t="shared" si="57"/>
        <v>82251.272146188305</v>
      </c>
      <c r="C253" s="73">
        <f>B253/Dashboard!$I$25</f>
        <v>0.32900508858475319</v>
      </c>
      <c r="D253" s="74">
        <f t="shared" si="58"/>
        <v>0</v>
      </c>
      <c r="E253" s="73">
        <f>IF($D$2="JA",Dashboard!$K$26-$D$11+D253,Dashboard!$K$26)</f>
        <v>2.3800000000000002E-2</v>
      </c>
      <c r="F253" s="72">
        <f t="shared" si="59"/>
        <v>163.13168975660682</v>
      </c>
      <c r="G253" s="72">
        <f t="shared" si="70"/>
        <v>619.34532038594716</v>
      </c>
      <c r="H253" s="72">
        <f>IFERROR(-PMT(E253^1/12,Dashboard!$I$30-A253,B253),0)</f>
        <v>782.47701014255404</v>
      </c>
      <c r="I253" s="75">
        <f t="shared" si="60"/>
        <v>782.47701014255404</v>
      </c>
      <c r="J253" s="76">
        <f t="shared" si="71"/>
        <v>83846.237795777124</v>
      </c>
      <c r="K253" s="76">
        <f>J253*Dashboard!$K$26/12</f>
        <v>187.25659774390226</v>
      </c>
      <c r="L253" s="76">
        <f t="shared" si="61"/>
        <v>621.82924483345289</v>
      </c>
      <c r="M253" s="76">
        <f>IF(H253=0,0,IFERROR(-PMT(Dashboard!$K$26^1/12,Dashboard!$I$30,Dashboard!$I$26),0))</f>
        <v>809.08584257735515</v>
      </c>
      <c r="P253" s="59">
        <v>242</v>
      </c>
      <c r="Q253" s="28">
        <f t="shared" si="62"/>
        <v>0</v>
      </c>
      <c r="R253" s="20">
        <f>Q253/Dashboard!$I$25</f>
        <v>0</v>
      </c>
      <c r="S253" s="20">
        <f t="shared" si="63"/>
        <v>0</v>
      </c>
      <c r="T253" s="20">
        <f>IF($D$2="JA",Dashboard!$K$27-$S$11+S253,Dashboard!$K$27)</f>
        <v>2.6800000000000001E-2</v>
      </c>
      <c r="U253" s="27">
        <f t="shared" si="64"/>
        <v>0</v>
      </c>
      <c r="V253" s="26">
        <f>IF(Q253&lt;=1,0,Dashboard!$I$27/Dashboard!$I$30)</f>
        <v>0</v>
      </c>
      <c r="W253" s="28">
        <f>Q253*Dashboard!$K$27/12</f>
        <v>0</v>
      </c>
      <c r="Y253" s="59">
        <v>242</v>
      </c>
      <c r="Z253" s="67">
        <f>Dashboard!$I$28</f>
        <v>0</v>
      </c>
      <c r="AA253" s="64">
        <f>IF(Z253&lt;=1,0,Dashboard!$I$30-Y253)</f>
        <v>0</v>
      </c>
      <c r="AB253" s="64">
        <f t="shared" si="65"/>
        <v>0</v>
      </c>
      <c r="AC253" s="1">
        <f>Dashboard!$K$28</f>
        <v>2.6800000000000001E-2</v>
      </c>
      <c r="AD253" s="28">
        <f t="shared" si="66"/>
        <v>0</v>
      </c>
      <c r="AF253" s="2">
        <f t="shared" si="67"/>
        <v>82251.272146188305</v>
      </c>
      <c r="AG253" s="62">
        <f>(B253+Q253+Z253)/Dashboard!$I$25</f>
        <v>0.32900508858475319</v>
      </c>
      <c r="AH253" s="20">
        <f t="shared" si="68"/>
        <v>0</v>
      </c>
      <c r="AI253" s="20">
        <f>IF($D$2="JA",Dashboard!$K$26-$AH$11+AH253,Dashboard!$K$26)</f>
        <v>2.3800000000000002E-2</v>
      </c>
      <c r="AJ253" s="27">
        <f>Tabel2[[#This Row],[Schuldrest]]*AI253/12</f>
        <v>163.13168975660682</v>
      </c>
      <c r="AK253" s="20">
        <f>IF($D$2="JA",Dashboard!$K$27-$AH$11+AH253,Dashboard!$K$27)</f>
        <v>2.3800000000000002E-2</v>
      </c>
      <c r="AL253" s="27">
        <f t="shared" si="54"/>
        <v>0</v>
      </c>
      <c r="AM253" s="20">
        <f>IF($D$2="JA",Dashboard!$K$28-$AH$11+AH253,Dashboard!$K$28)</f>
        <v>2.3800000000000002E-2</v>
      </c>
      <c r="AN253" s="27">
        <f t="shared" si="55"/>
        <v>0</v>
      </c>
      <c r="AO253" s="63">
        <f>Tabel2[[#This Row],[Aflossing]]+V253</f>
        <v>619.34532038594716</v>
      </c>
      <c r="AP253" s="63">
        <f t="shared" si="69"/>
        <v>163.13168975660682</v>
      </c>
      <c r="AQ253" s="2">
        <f t="shared" si="56"/>
        <v>187.25659774390226</v>
      </c>
      <c r="AU253" s="20"/>
      <c r="AV253" s="20"/>
    </row>
    <row r="254" spans="1:48">
      <c r="A254" s="71">
        <v>243</v>
      </c>
      <c r="B254" s="77">
        <f t="shared" si="57"/>
        <v>81631.926825802351</v>
      </c>
      <c r="C254" s="73">
        <f>B254/Dashboard!$I$25</f>
        <v>0.3265277073032094</v>
      </c>
      <c r="D254" s="74">
        <f t="shared" si="58"/>
        <v>0</v>
      </c>
      <c r="E254" s="73">
        <f>IF($D$2="JA",Dashboard!$K$26-$D$11+D254,Dashboard!$K$26)</f>
        <v>2.3800000000000002E-2</v>
      </c>
      <c r="F254" s="72">
        <f t="shared" si="59"/>
        <v>161.90332153784135</v>
      </c>
      <c r="G254" s="72">
        <f t="shared" si="70"/>
        <v>620.57368860471252</v>
      </c>
      <c r="H254" s="72">
        <f>IFERROR(-PMT(E254^1/12,Dashboard!$I$30-A254,B254),0)</f>
        <v>782.47701014255381</v>
      </c>
      <c r="I254" s="75">
        <f t="shared" si="60"/>
        <v>782.47701014255381</v>
      </c>
      <c r="J254" s="76">
        <f t="shared" si="71"/>
        <v>83224.40855094367</v>
      </c>
      <c r="K254" s="76">
        <f>J254*Dashboard!$K$26/12</f>
        <v>185.8678457637742</v>
      </c>
      <c r="L254" s="76">
        <f t="shared" si="61"/>
        <v>623.21799681358095</v>
      </c>
      <c r="M254" s="76">
        <f>IF(H254=0,0,IFERROR(-PMT(Dashboard!$K$26^1/12,Dashboard!$I$30,Dashboard!$I$26),0))</f>
        <v>809.08584257735515</v>
      </c>
      <c r="P254" s="59">
        <v>243</v>
      </c>
      <c r="Q254" s="28">
        <f t="shared" si="62"/>
        <v>0</v>
      </c>
      <c r="R254" s="20">
        <f>Q254/Dashboard!$I$25</f>
        <v>0</v>
      </c>
      <c r="S254" s="20">
        <f t="shared" si="63"/>
        <v>0</v>
      </c>
      <c r="T254" s="20">
        <f>IF($D$2="JA",Dashboard!$K$27-$S$11+S254,Dashboard!$K$27)</f>
        <v>2.6800000000000001E-2</v>
      </c>
      <c r="U254" s="27">
        <f t="shared" si="64"/>
        <v>0</v>
      </c>
      <c r="V254" s="26">
        <f>IF(Q254&lt;=1,0,Dashboard!$I$27/Dashboard!$I$30)</f>
        <v>0</v>
      </c>
      <c r="W254" s="28">
        <f>Q254*Dashboard!$K$27/12</f>
        <v>0</v>
      </c>
      <c r="Y254" s="59">
        <v>243</v>
      </c>
      <c r="Z254" s="67">
        <f>Dashboard!$I$28</f>
        <v>0</v>
      </c>
      <c r="AA254" s="64">
        <f>IF(Z254&lt;=1,0,Dashboard!$I$30-Y254)</f>
        <v>0</v>
      </c>
      <c r="AB254" s="64">
        <f t="shared" si="65"/>
        <v>0</v>
      </c>
      <c r="AC254" s="1">
        <f>Dashboard!$K$28</f>
        <v>2.6800000000000001E-2</v>
      </c>
      <c r="AD254" s="28">
        <f t="shared" si="66"/>
        <v>0</v>
      </c>
      <c r="AF254" s="2">
        <f t="shared" si="67"/>
        <v>81631.926825802351</v>
      </c>
      <c r="AG254" s="62">
        <f>(B254+Q254+Z254)/Dashboard!$I$25</f>
        <v>0.3265277073032094</v>
      </c>
      <c r="AH254" s="20">
        <f t="shared" si="68"/>
        <v>0</v>
      </c>
      <c r="AI254" s="20">
        <f>IF($D$2="JA",Dashboard!$K$26-$AH$11+AH254,Dashboard!$K$26)</f>
        <v>2.3800000000000002E-2</v>
      </c>
      <c r="AJ254" s="27">
        <f>Tabel2[[#This Row],[Schuldrest]]*AI254/12</f>
        <v>161.90332153784135</v>
      </c>
      <c r="AK254" s="20">
        <f>IF($D$2="JA",Dashboard!$K$27-$AH$11+AH254,Dashboard!$K$27)</f>
        <v>2.3800000000000002E-2</v>
      </c>
      <c r="AL254" s="27">
        <f t="shared" si="54"/>
        <v>0</v>
      </c>
      <c r="AM254" s="20">
        <f>IF($D$2="JA",Dashboard!$K$28-$AH$11+AH254,Dashboard!$K$28)</f>
        <v>2.3800000000000002E-2</v>
      </c>
      <c r="AN254" s="27">
        <f t="shared" si="55"/>
        <v>0</v>
      </c>
      <c r="AO254" s="63">
        <f>Tabel2[[#This Row],[Aflossing]]+V254</f>
        <v>620.57368860471252</v>
      </c>
      <c r="AP254" s="63">
        <f t="shared" si="69"/>
        <v>161.90332153784135</v>
      </c>
      <c r="AQ254" s="2">
        <f t="shared" si="56"/>
        <v>185.8678457637742</v>
      </c>
      <c r="AU254" s="20"/>
      <c r="AV254" s="20"/>
    </row>
    <row r="255" spans="1:48">
      <c r="A255" s="71">
        <v>244</v>
      </c>
      <c r="B255" s="77">
        <f t="shared" si="57"/>
        <v>81011.353137197642</v>
      </c>
      <c r="C255" s="73">
        <f>B255/Dashboard!$I$25</f>
        <v>0.32404541254879055</v>
      </c>
      <c r="D255" s="74">
        <f t="shared" si="58"/>
        <v>0</v>
      </c>
      <c r="E255" s="73">
        <f>IF($D$2="JA",Dashboard!$K$26-$D$11+D255,Dashboard!$K$26)</f>
        <v>2.3800000000000002E-2</v>
      </c>
      <c r="F255" s="72">
        <f t="shared" si="59"/>
        <v>160.672517055442</v>
      </c>
      <c r="G255" s="72">
        <f t="shared" si="70"/>
        <v>621.80449308711195</v>
      </c>
      <c r="H255" s="72">
        <f>IFERROR(-PMT(E255^1/12,Dashboard!$I$30-A255,B255),0)</f>
        <v>782.47701014255392</v>
      </c>
      <c r="I255" s="75">
        <f t="shared" si="60"/>
        <v>782.47701014255392</v>
      </c>
      <c r="J255" s="76">
        <f t="shared" si="71"/>
        <v>82601.190554130095</v>
      </c>
      <c r="K255" s="76">
        <f>J255*Dashboard!$K$26/12</f>
        <v>184.47599223755722</v>
      </c>
      <c r="L255" s="76">
        <f t="shared" si="61"/>
        <v>624.60985033979796</v>
      </c>
      <c r="M255" s="76">
        <f>IF(H255=0,0,IFERROR(-PMT(Dashboard!$K$26^1/12,Dashboard!$I$30,Dashboard!$I$26),0))</f>
        <v>809.08584257735515</v>
      </c>
      <c r="P255" s="59">
        <v>244</v>
      </c>
      <c r="Q255" s="28">
        <f t="shared" si="62"/>
        <v>0</v>
      </c>
      <c r="R255" s="20">
        <f>Q255/Dashboard!$I$25</f>
        <v>0</v>
      </c>
      <c r="S255" s="20">
        <f t="shared" si="63"/>
        <v>0</v>
      </c>
      <c r="T255" s="20">
        <f>IF($D$2="JA",Dashboard!$K$27-$S$11+S255,Dashboard!$K$27)</f>
        <v>2.6800000000000001E-2</v>
      </c>
      <c r="U255" s="27">
        <f t="shared" si="64"/>
        <v>0</v>
      </c>
      <c r="V255" s="26">
        <f>IF(Q255&lt;=1,0,Dashboard!$I$27/Dashboard!$I$30)</f>
        <v>0</v>
      </c>
      <c r="W255" s="28">
        <f>Q255*Dashboard!$K$27/12</f>
        <v>0</v>
      </c>
      <c r="Y255" s="59">
        <v>244</v>
      </c>
      <c r="Z255" s="67">
        <f>Dashboard!$I$28</f>
        <v>0</v>
      </c>
      <c r="AA255" s="64">
        <f>IF(Z255&lt;=1,0,Dashboard!$I$30-Y255)</f>
        <v>0</v>
      </c>
      <c r="AB255" s="64">
        <f t="shared" si="65"/>
        <v>0</v>
      </c>
      <c r="AC255" s="1">
        <f>Dashboard!$K$28</f>
        <v>2.6800000000000001E-2</v>
      </c>
      <c r="AD255" s="28">
        <f t="shared" si="66"/>
        <v>0</v>
      </c>
      <c r="AF255" s="2">
        <f t="shared" si="67"/>
        <v>81011.353137197642</v>
      </c>
      <c r="AG255" s="62">
        <f>(B255+Q255+Z255)/Dashboard!$I$25</f>
        <v>0.32404541254879055</v>
      </c>
      <c r="AH255" s="20">
        <f t="shared" si="68"/>
        <v>0</v>
      </c>
      <c r="AI255" s="20">
        <f>IF($D$2="JA",Dashboard!$K$26-$AH$11+AH255,Dashboard!$K$26)</f>
        <v>2.3800000000000002E-2</v>
      </c>
      <c r="AJ255" s="27">
        <f>Tabel2[[#This Row],[Schuldrest]]*AI255/12</f>
        <v>160.672517055442</v>
      </c>
      <c r="AK255" s="20">
        <f>IF($D$2="JA",Dashboard!$K$27-$AH$11+AH255,Dashboard!$K$27)</f>
        <v>2.3800000000000002E-2</v>
      </c>
      <c r="AL255" s="27">
        <f t="shared" si="54"/>
        <v>0</v>
      </c>
      <c r="AM255" s="20">
        <f>IF($D$2="JA",Dashboard!$K$28-$AH$11+AH255,Dashboard!$K$28)</f>
        <v>2.3800000000000002E-2</v>
      </c>
      <c r="AN255" s="27">
        <f t="shared" si="55"/>
        <v>0</v>
      </c>
      <c r="AO255" s="63">
        <f>Tabel2[[#This Row],[Aflossing]]+V255</f>
        <v>621.80449308711195</v>
      </c>
      <c r="AP255" s="63">
        <f t="shared" si="69"/>
        <v>160.672517055442</v>
      </c>
      <c r="AQ255" s="2">
        <f t="shared" si="56"/>
        <v>184.47599223755722</v>
      </c>
      <c r="AU255" s="20"/>
      <c r="AV255" s="20"/>
    </row>
    <row r="256" spans="1:48">
      <c r="A256" s="71">
        <v>245</v>
      </c>
      <c r="B256" s="77">
        <f t="shared" si="57"/>
        <v>80389.548644110531</v>
      </c>
      <c r="C256" s="73">
        <f>B256/Dashboard!$I$25</f>
        <v>0.32155819457644214</v>
      </c>
      <c r="D256" s="74">
        <f t="shared" si="58"/>
        <v>0</v>
      </c>
      <c r="E256" s="73">
        <f>IF($D$2="JA",Dashboard!$K$26-$D$11+D256,Dashboard!$K$26)</f>
        <v>2.3800000000000002E-2</v>
      </c>
      <c r="F256" s="72">
        <f t="shared" si="59"/>
        <v>159.4392714774859</v>
      </c>
      <c r="G256" s="72">
        <f t="shared" si="70"/>
        <v>623.03773866506788</v>
      </c>
      <c r="H256" s="72">
        <f>IFERROR(-PMT(E256^1/12,Dashboard!$I$30-A256,B256),0)</f>
        <v>782.47701014255381</v>
      </c>
      <c r="I256" s="75">
        <f t="shared" si="60"/>
        <v>782.47701014255381</v>
      </c>
      <c r="J256" s="76">
        <f t="shared" si="71"/>
        <v>81976.5807037903</v>
      </c>
      <c r="K256" s="76">
        <f>J256*Dashboard!$K$26/12</f>
        <v>183.08103023846502</v>
      </c>
      <c r="L256" s="76">
        <f t="shared" si="61"/>
        <v>626.00481233889013</v>
      </c>
      <c r="M256" s="76">
        <f>IF(H256=0,0,IFERROR(-PMT(Dashboard!$K$26^1/12,Dashboard!$I$30,Dashboard!$I$26),0))</f>
        <v>809.08584257735515</v>
      </c>
      <c r="P256" s="59">
        <v>245</v>
      </c>
      <c r="Q256" s="28">
        <f t="shared" si="62"/>
        <v>0</v>
      </c>
      <c r="R256" s="20">
        <f>Q256/Dashboard!$I$25</f>
        <v>0</v>
      </c>
      <c r="S256" s="20">
        <f t="shared" si="63"/>
        <v>0</v>
      </c>
      <c r="T256" s="20">
        <f>IF($D$2="JA",Dashboard!$K$27-$S$11+S256,Dashboard!$K$27)</f>
        <v>2.6800000000000001E-2</v>
      </c>
      <c r="U256" s="27">
        <f t="shared" si="64"/>
        <v>0</v>
      </c>
      <c r="V256" s="26">
        <f>IF(Q256&lt;=1,0,Dashboard!$I$27/Dashboard!$I$30)</f>
        <v>0</v>
      </c>
      <c r="W256" s="28">
        <f>Q256*Dashboard!$K$27/12</f>
        <v>0</v>
      </c>
      <c r="Y256" s="59">
        <v>245</v>
      </c>
      <c r="Z256" s="67">
        <f>Dashboard!$I$28</f>
        <v>0</v>
      </c>
      <c r="AA256" s="64">
        <f>IF(Z256&lt;=1,0,Dashboard!$I$30-Y256)</f>
        <v>0</v>
      </c>
      <c r="AB256" s="64">
        <f t="shared" si="65"/>
        <v>0</v>
      </c>
      <c r="AC256" s="1">
        <f>Dashboard!$K$28</f>
        <v>2.6800000000000001E-2</v>
      </c>
      <c r="AD256" s="28">
        <f t="shared" si="66"/>
        <v>0</v>
      </c>
      <c r="AF256" s="2">
        <f t="shared" si="67"/>
        <v>80389.548644110531</v>
      </c>
      <c r="AG256" s="62">
        <f>(B256+Q256+Z256)/Dashboard!$I$25</f>
        <v>0.32155819457644214</v>
      </c>
      <c r="AH256" s="20">
        <f t="shared" si="68"/>
        <v>0</v>
      </c>
      <c r="AI256" s="20">
        <f>IF($D$2="JA",Dashboard!$K$26-$AH$11+AH256,Dashboard!$K$26)</f>
        <v>2.3800000000000002E-2</v>
      </c>
      <c r="AJ256" s="27">
        <f>Tabel2[[#This Row],[Schuldrest]]*AI256/12</f>
        <v>159.4392714774859</v>
      </c>
      <c r="AK256" s="20">
        <f>IF($D$2="JA",Dashboard!$K$27-$AH$11+AH256,Dashboard!$K$27)</f>
        <v>2.3800000000000002E-2</v>
      </c>
      <c r="AL256" s="27">
        <f t="shared" si="54"/>
        <v>0</v>
      </c>
      <c r="AM256" s="20">
        <f>IF($D$2="JA",Dashboard!$K$28-$AH$11+AH256,Dashboard!$K$28)</f>
        <v>2.3800000000000002E-2</v>
      </c>
      <c r="AN256" s="27">
        <f t="shared" si="55"/>
        <v>0</v>
      </c>
      <c r="AO256" s="63">
        <f>Tabel2[[#This Row],[Aflossing]]+V256</f>
        <v>623.03773866506788</v>
      </c>
      <c r="AP256" s="63">
        <f t="shared" si="69"/>
        <v>159.4392714774859</v>
      </c>
      <c r="AQ256" s="2">
        <f t="shared" si="56"/>
        <v>183.08103023846502</v>
      </c>
      <c r="AU256" s="20"/>
      <c r="AV256" s="20"/>
    </row>
    <row r="257" spans="1:48">
      <c r="A257" s="71">
        <v>246</v>
      </c>
      <c r="B257" s="77">
        <f t="shared" si="57"/>
        <v>79766.510905445466</v>
      </c>
      <c r="C257" s="73">
        <f>B257/Dashboard!$I$25</f>
        <v>0.31906604362178187</v>
      </c>
      <c r="D257" s="74">
        <f t="shared" si="58"/>
        <v>0</v>
      </c>
      <c r="E257" s="73">
        <f>IF($D$2="JA",Dashboard!$K$26-$D$11+D257,Dashboard!$K$26)</f>
        <v>2.3800000000000002E-2</v>
      </c>
      <c r="F257" s="72">
        <f t="shared" si="59"/>
        <v>158.20357996246685</v>
      </c>
      <c r="G257" s="72">
        <f t="shared" si="70"/>
        <v>624.27343018008708</v>
      </c>
      <c r="H257" s="72">
        <f>IFERROR(-PMT(E257^1/12,Dashboard!$I$30-A257,B257),0)</f>
        <v>782.47701014255392</v>
      </c>
      <c r="I257" s="75">
        <f t="shared" si="60"/>
        <v>782.47701014255392</v>
      </c>
      <c r="J257" s="76">
        <f t="shared" si="71"/>
        <v>81350.575891451415</v>
      </c>
      <c r="K257" s="76">
        <f>J257*Dashboard!$K$26/12</f>
        <v>181.68295282424151</v>
      </c>
      <c r="L257" s="76">
        <f t="shared" si="61"/>
        <v>627.40288975311364</v>
      </c>
      <c r="M257" s="76">
        <f>IF(H257=0,0,IFERROR(-PMT(Dashboard!$K$26^1/12,Dashboard!$I$30,Dashboard!$I$26),0))</f>
        <v>809.08584257735515</v>
      </c>
      <c r="P257" s="59">
        <v>246</v>
      </c>
      <c r="Q257" s="28">
        <f t="shared" si="62"/>
        <v>0</v>
      </c>
      <c r="R257" s="20">
        <f>Q257/Dashboard!$I$25</f>
        <v>0</v>
      </c>
      <c r="S257" s="20">
        <f t="shared" si="63"/>
        <v>0</v>
      </c>
      <c r="T257" s="20">
        <f>IF($D$2="JA",Dashboard!$K$27-$S$11+S257,Dashboard!$K$27)</f>
        <v>2.6800000000000001E-2</v>
      </c>
      <c r="U257" s="27">
        <f t="shared" si="64"/>
        <v>0</v>
      </c>
      <c r="V257" s="26">
        <f>IF(Q257&lt;=1,0,Dashboard!$I$27/Dashboard!$I$30)</f>
        <v>0</v>
      </c>
      <c r="W257" s="28">
        <f>Q257*Dashboard!$K$27/12</f>
        <v>0</v>
      </c>
      <c r="Y257" s="59">
        <v>246</v>
      </c>
      <c r="Z257" s="67">
        <f>Dashboard!$I$28</f>
        <v>0</v>
      </c>
      <c r="AA257" s="64">
        <f>IF(Z257&lt;=1,0,Dashboard!$I$30-Y257)</f>
        <v>0</v>
      </c>
      <c r="AB257" s="64">
        <f t="shared" si="65"/>
        <v>0</v>
      </c>
      <c r="AC257" s="1">
        <f>Dashboard!$K$28</f>
        <v>2.6800000000000001E-2</v>
      </c>
      <c r="AD257" s="28">
        <f t="shared" si="66"/>
        <v>0</v>
      </c>
      <c r="AF257" s="2">
        <f t="shared" si="67"/>
        <v>79766.510905445466</v>
      </c>
      <c r="AG257" s="62">
        <f>(B257+Q257+Z257)/Dashboard!$I$25</f>
        <v>0.31906604362178187</v>
      </c>
      <c r="AH257" s="20">
        <f t="shared" si="68"/>
        <v>0</v>
      </c>
      <c r="AI257" s="20">
        <f>IF($D$2="JA",Dashboard!$K$26-$AH$11+AH257,Dashboard!$K$26)</f>
        <v>2.3800000000000002E-2</v>
      </c>
      <c r="AJ257" s="27">
        <f>Tabel2[[#This Row],[Schuldrest]]*AI257/12</f>
        <v>158.20357996246685</v>
      </c>
      <c r="AK257" s="20">
        <f>IF($D$2="JA",Dashboard!$K$27-$AH$11+AH257,Dashboard!$K$27)</f>
        <v>2.3800000000000002E-2</v>
      </c>
      <c r="AL257" s="27">
        <f t="shared" si="54"/>
        <v>0</v>
      </c>
      <c r="AM257" s="20">
        <f>IF($D$2="JA",Dashboard!$K$28-$AH$11+AH257,Dashboard!$K$28)</f>
        <v>2.3800000000000002E-2</v>
      </c>
      <c r="AN257" s="27">
        <f t="shared" si="55"/>
        <v>0</v>
      </c>
      <c r="AO257" s="63">
        <f>Tabel2[[#This Row],[Aflossing]]+V257</f>
        <v>624.27343018008708</v>
      </c>
      <c r="AP257" s="63">
        <f t="shared" si="69"/>
        <v>158.20357996246685</v>
      </c>
      <c r="AQ257" s="2">
        <f t="shared" si="56"/>
        <v>181.68295282424151</v>
      </c>
      <c r="AU257" s="20"/>
      <c r="AV257" s="20"/>
    </row>
    <row r="258" spans="1:48">
      <c r="A258" s="71">
        <v>247</v>
      </c>
      <c r="B258" s="77">
        <f t="shared" si="57"/>
        <v>79142.237475265385</v>
      </c>
      <c r="C258" s="73">
        <f>B258/Dashboard!$I$25</f>
        <v>0.31656894990106155</v>
      </c>
      <c r="D258" s="74">
        <f t="shared" si="58"/>
        <v>0</v>
      </c>
      <c r="E258" s="73">
        <f>IF($D$2="JA",Dashboard!$K$26-$D$11+D258,Dashboard!$K$26)</f>
        <v>2.3800000000000002E-2</v>
      </c>
      <c r="F258" s="72">
        <f t="shared" si="59"/>
        <v>156.96543765927638</v>
      </c>
      <c r="G258" s="72">
        <f t="shared" si="70"/>
        <v>625.51157248327752</v>
      </c>
      <c r="H258" s="72">
        <f>IFERROR(-PMT(E258^1/12,Dashboard!$I$30-A258,B258),0)</f>
        <v>782.47701014255392</v>
      </c>
      <c r="I258" s="75">
        <f t="shared" si="60"/>
        <v>782.47701014255392</v>
      </c>
      <c r="J258" s="76">
        <f t="shared" si="71"/>
        <v>80723.173001698306</v>
      </c>
      <c r="K258" s="76">
        <f>J258*Dashboard!$K$26/12</f>
        <v>180.28175303712624</v>
      </c>
      <c r="L258" s="76">
        <f t="shared" si="61"/>
        <v>628.80408954022892</v>
      </c>
      <c r="M258" s="76">
        <f>IF(H258=0,0,IFERROR(-PMT(Dashboard!$K$26^1/12,Dashboard!$I$30,Dashboard!$I$26),0))</f>
        <v>809.08584257735515</v>
      </c>
      <c r="P258" s="59">
        <v>247</v>
      </c>
      <c r="Q258" s="28">
        <f t="shared" si="62"/>
        <v>0</v>
      </c>
      <c r="R258" s="20">
        <f>Q258/Dashboard!$I$25</f>
        <v>0</v>
      </c>
      <c r="S258" s="20">
        <f t="shared" si="63"/>
        <v>0</v>
      </c>
      <c r="T258" s="20">
        <f>IF($D$2="JA",Dashboard!$K$27-$S$11+S258,Dashboard!$K$27)</f>
        <v>2.6800000000000001E-2</v>
      </c>
      <c r="U258" s="27">
        <f t="shared" si="64"/>
        <v>0</v>
      </c>
      <c r="V258" s="26">
        <f>IF(Q258&lt;=1,0,Dashboard!$I$27/Dashboard!$I$30)</f>
        <v>0</v>
      </c>
      <c r="W258" s="28">
        <f>Q258*Dashboard!$K$27/12</f>
        <v>0</v>
      </c>
      <c r="Y258" s="59">
        <v>247</v>
      </c>
      <c r="Z258" s="67">
        <f>Dashboard!$I$28</f>
        <v>0</v>
      </c>
      <c r="AA258" s="64">
        <f>IF(Z258&lt;=1,0,Dashboard!$I$30-Y258)</f>
        <v>0</v>
      </c>
      <c r="AB258" s="64">
        <f t="shared" si="65"/>
        <v>0</v>
      </c>
      <c r="AC258" s="1">
        <f>Dashboard!$K$28</f>
        <v>2.6800000000000001E-2</v>
      </c>
      <c r="AD258" s="28">
        <f t="shared" si="66"/>
        <v>0</v>
      </c>
      <c r="AF258" s="2">
        <f t="shared" si="67"/>
        <v>79142.237475265385</v>
      </c>
      <c r="AG258" s="62">
        <f>(B258+Q258+Z258)/Dashboard!$I$25</f>
        <v>0.31656894990106155</v>
      </c>
      <c r="AH258" s="20">
        <f t="shared" si="68"/>
        <v>0</v>
      </c>
      <c r="AI258" s="20">
        <f>IF($D$2="JA",Dashboard!$K$26-$AH$11+AH258,Dashboard!$K$26)</f>
        <v>2.3800000000000002E-2</v>
      </c>
      <c r="AJ258" s="27">
        <f>Tabel2[[#This Row],[Schuldrest]]*AI258/12</f>
        <v>156.96543765927638</v>
      </c>
      <c r="AK258" s="20">
        <f>IF($D$2="JA",Dashboard!$K$27-$AH$11+AH258,Dashboard!$K$27)</f>
        <v>2.3800000000000002E-2</v>
      </c>
      <c r="AL258" s="27">
        <f t="shared" si="54"/>
        <v>0</v>
      </c>
      <c r="AM258" s="20">
        <f>IF($D$2="JA",Dashboard!$K$28-$AH$11+AH258,Dashboard!$K$28)</f>
        <v>2.3800000000000002E-2</v>
      </c>
      <c r="AN258" s="27">
        <f t="shared" si="55"/>
        <v>0</v>
      </c>
      <c r="AO258" s="63">
        <f>Tabel2[[#This Row],[Aflossing]]+V258</f>
        <v>625.51157248327752</v>
      </c>
      <c r="AP258" s="63">
        <f t="shared" si="69"/>
        <v>156.96543765927638</v>
      </c>
      <c r="AQ258" s="2">
        <f t="shared" si="56"/>
        <v>180.28175303712624</v>
      </c>
      <c r="AU258" s="20"/>
      <c r="AV258" s="20"/>
    </row>
    <row r="259" spans="1:48">
      <c r="A259" s="71">
        <v>248</v>
      </c>
      <c r="B259" s="77">
        <f t="shared" si="57"/>
        <v>78516.725902782113</v>
      </c>
      <c r="C259" s="73">
        <f>B259/Dashboard!$I$25</f>
        <v>0.31406690361112843</v>
      </c>
      <c r="D259" s="74">
        <f t="shared" si="58"/>
        <v>0</v>
      </c>
      <c r="E259" s="73">
        <f>IF($D$2="JA",Dashboard!$K$26-$D$11+D259,Dashboard!$K$26)</f>
        <v>2.3800000000000002E-2</v>
      </c>
      <c r="F259" s="72">
        <f t="shared" si="59"/>
        <v>155.72483970718454</v>
      </c>
      <c r="G259" s="72">
        <f t="shared" si="70"/>
        <v>626.75217043536952</v>
      </c>
      <c r="H259" s="72">
        <f>IFERROR(-PMT(E259^1/12,Dashboard!$I$30-A259,B259),0)</f>
        <v>782.47701014255404</v>
      </c>
      <c r="I259" s="75">
        <f t="shared" si="60"/>
        <v>782.47701014255404</v>
      </c>
      <c r="J259" s="76">
        <f t="shared" si="71"/>
        <v>80094.368912158083</v>
      </c>
      <c r="K259" s="76">
        <f>J259*Dashboard!$K$26/12</f>
        <v>178.87742390381973</v>
      </c>
      <c r="L259" s="76">
        <f t="shared" si="61"/>
        <v>630.20841867353545</v>
      </c>
      <c r="M259" s="76">
        <f>IF(H259=0,0,IFERROR(-PMT(Dashboard!$K$26^1/12,Dashboard!$I$30,Dashboard!$I$26),0))</f>
        <v>809.08584257735515</v>
      </c>
      <c r="P259" s="59">
        <v>248</v>
      </c>
      <c r="Q259" s="28">
        <f t="shared" si="62"/>
        <v>0</v>
      </c>
      <c r="R259" s="20">
        <f>Q259/Dashboard!$I$25</f>
        <v>0</v>
      </c>
      <c r="S259" s="20">
        <f t="shared" si="63"/>
        <v>0</v>
      </c>
      <c r="T259" s="20">
        <f>IF($D$2="JA",Dashboard!$K$27-$S$11+S259,Dashboard!$K$27)</f>
        <v>2.6800000000000001E-2</v>
      </c>
      <c r="U259" s="27">
        <f t="shared" si="64"/>
        <v>0</v>
      </c>
      <c r="V259" s="26">
        <f>IF(Q259&lt;=1,0,Dashboard!$I$27/Dashboard!$I$30)</f>
        <v>0</v>
      </c>
      <c r="W259" s="28">
        <f>Q259*Dashboard!$K$27/12</f>
        <v>0</v>
      </c>
      <c r="Y259" s="59">
        <v>248</v>
      </c>
      <c r="Z259" s="67">
        <f>Dashboard!$I$28</f>
        <v>0</v>
      </c>
      <c r="AA259" s="64">
        <f>IF(Z259&lt;=1,0,Dashboard!$I$30-Y259)</f>
        <v>0</v>
      </c>
      <c r="AB259" s="64">
        <f t="shared" si="65"/>
        <v>0</v>
      </c>
      <c r="AC259" s="1">
        <f>Dashboard!$K$28</f>
        <v>2.6800000000000001E-2</v>
      </c>
      <c r="AD259" s="28">
        <f t="shared" si="66"/>
        <v>0</v>
      </c>
      <c r="AF259" s="2">
        <f t="shared" si="67"/>
        <v>78516.725902782113</v>
      </c>
      <c r="AG259" s="62">
        <f>(B259+Q259+Z259)/Dashboard!$I$25</f>
        <v>0.31406690361112843</v>
      </c>
      <c r="AH259" s="20">
        <f t="shared" si="68"/>
        <v>0</v>
      </c>
      <c r="AI259" s="20">
        <f>IF($D$2="JA",Dashboard!$K$26-$AH$11+AH259,Dashboard!$K$26)</f>
        <v>2.3800000000000002E-2</v>
      </c>
      <c r="AJ259" s="27">
        <f>Tabel2[[#This Row],[Schuldrest]]*AI259/12</f>
        <v>155.72483970718454</v>
      </c>
      <c r="AK259" s="20">
        <f>IF($D$2="JA",Dashboard!$K$27-$AH$11+AH259,Dashboard!$K$27)</f>
        <v>2.3800000000000002E-2</v>
      </c>
      <c r="AL259" s="27">
        <f t="shared" si="54"/>
        <v>0</v>
      </c>
      <c r="AM259" s="20">
        <f>IF($D$2="JA",Dashboard!$K$28-$AH$11+AH259,Dashboard!$K$28)</f>
        <v>2.3800000000000002E-2</v>
      </c>
      <c r="AN259" s="27">
        <f t="shared" si="55"/>
        <v>0</v>
      </c>
      <c r="AO259" s="63">
        <f>Tabel2[[#This Row],[Aflossing]]+V259</f>
        <v>626.75217043536952</v>
      </c>
      <c r="AP259" s="63">
        <f t="shared" si="69"/>
        <v>155.72483970718454</v>
      </c>
      <c r="AQ259" s="2">
        <f t="shared" si="56"/>
        <v>178.87742390381973</v>
      </c>
      <c r="AU259" s="20"/>
      <c r="AV259" s="20"/>
    </row>
    <row r="260" spans="1:48">
      <c r="A260" s="71">
        <v>249</v>
      </c>
      <c r="B260" s="77">
        <f t="shared" si="57"/>
        <v>77889.973732346742</v>
      </c>
      <c r="C260" s="73">
        <f>B260/Dashboard!$I$25</f>
        <v>0.31155989492938696</v>
      </c>
      <c r="D260" s="74">
        <f t="shared" si="58"/>
        <v>0</v>
      </c>
      <c r="E260" s="73">
        <f>IF($D$2="JA",Dashboard!$K$26-$D$11+D260,Dashboard!$K$26)</f>
        <v>2.3800000000000002E-2</v>
      </c>
      <c r="F260" s="72">
        <f t="shared" si="59"/>
        <v>154.48178123582105</v>
      </c>
      <c r="G260" s="72">
        <f t="shared" si="70"/>
        <v>627.9952289067329</v>
      </c>
      <c r="H260" s="72">
        <f>IFERROR(-PMT(E260^1/12,Dashboard!$I$30-A260,B260),0)</f>
        <v>782.47701014255392</v>
      </c>
      <c r="I260" s="75">
        <f t="shared" si="60"/>
        <v>782.47701014255392</v>
      </c>
      <c r="J260" s="76">
        <f t="shared" si="71"/>
        <v>79464.160493484553</v>
      </c>
      <c r="K260" s="76">
        <f>J260*Dashboard!$K$26/12</f>
        <v>177.46995843544883</v>
      </c>
      <c r="L260" s="76">
        <f t="shared" si="61"/>
        <v>631.61588414190635</v>
      </c>
      <c r="M260" s="76">
        <f>IF(H260=0,0,IFERROR(-PMT(Dashboard!$K$26^1/12,Dashboard!$I$30,Dashboard!$I$26),0))</f>
        <v>809.08584257735515</v>
      </c>
      <c r="P260" s="59">
        <v>249</v>
      </c>
      <c r="Q260" s="28">
        <f t="shared" si="62"/>
        <v>0</v>
      </c>
      <c r="R260" s="20">
        <f>Q260/Dashboard!$I$25</f>
        <v>0</v>
      </c>
      <c r="S260" s="20">
        <f t="shared" si="63"/>
        <v>0</v>
      </c>
      <c r="T260" s="20">
        <f>IF($D$2="JA",Dashboard!$K$27-$S$11+S260,Dashboard!$K$27)</f>
        <v>2.6800000000000001E-2</v>
      </c>
      <c r="U260" s="27">
        <f t="shared" si="64"/>
        <v>0</v>
      </c>
      <c r="V260" s="26">
        <f>IF(Q260&lt;=1,0,Dashboard!$I$27/Dashboard!$I$30)</f>
        <v>0</v>
      </c>
      <c r="W260" s="28">
        <f>Q260*Dashboard!$K$27/12</f>
        <v>0</v>
      </c>
      <c r="Y260" s="59">
        <v>249</v>
      </c>
      <c r="Z260" s="67">
        <f>Dashboard!$I$28</f>
        <v>0</v>
      </c>
      <c r="AA260" s="64">
        <f>IF(Z260&lt;=1,0,Dashboard!$I$30-Y260)</f>
        <v>0</v>
      </c>
      <c r="AB260" s="64">
        <f t="shared" si="65"/>
        <v>0</v>
      </c>
      <c r="AC260" s="1">
        <f>Dashboard!$K$28</f>
        <v>2.6800000000000001E-2</v>
      </c>
      <c r="AD260" s="28">
        <f t="shared" si="66"/>
        <v>0</v>
      </c>
      <c r="AF260" s="2">
        <f t="shared" si="67"/>
        <v>77889.973732346742</v>
      </c>
      <c r="AG260" s="62">
        <f>(B260+Q260+Z260)/Dashboard!$I$25</f>
        <v>0.31155989492938696</v>
      </c>
      <c r="AH260" s="20">
        <f t="shared" si="68"/>
        <v>0</v>
      </c>
      <c r="AI260" s="20">
        <f>IF($D$2="JA",Dashboard!$K$26-$AH$11+AH260,Dashboard!$K$26)</f>
        <v>2.3800000000000002E-2</v>
      </c>
      <c r="AJ260" s="27">
        <f>Tabel2[[#This Row],[Schuldrest]]*AI260/12</f>
        <v>154.48178123582105</v>
      </c>
      <c r="AK260" s="20">
        <f>IF($D$2="JA",Dashboard!$K$27-$AH$11+AH260,Dashboard!$K$27)</f>
        <v>2.3800000000000002E-2</v>
      </c>
      <c r="AL260" s="27">
        <f t="shared" si="54"/>
        <v>0</v>
      </c>
      <c r="AM260" s="20">
        <f>IF($D$2="JA",Dashboard!$K$28-$AH$11+AH260,Dashboard!$K$28)</f>
        <v>2.3800000000000002E-2</v>
      </c>
      <c r="AN260" s="27">
        <f t="shared" si="55"/>
        <v>0</v>
      </c>
      <c r="AO260" s="63">
        <f>Tabel2[[#This Row],[Aflossing]]+V260</f>
        <v>627.9952289067329</v>
      </c>
      <c r="AP260" s="63">
        <f t="shared" si="69"/>
        <v>154.48178123582105</v>
      </c>
      <c r="AQ260" s="2">
        <f t="shared" si="56"/>
        <v>177.46995843544883</v>
      </c>
      <c r="AU260" s="20"/>
      <c r="AV260" s="20"/>
    </row>
    <row r="261" spans="1:48">
      <c r="A261" s="71">
        <v>250</v>
      </c>
      <c r="B261" s="77">
        <f t="shared" si="57"/>
        <v>77261.978503440012</v>
      </c>
      <c r="C261" s="73">
        <f>B261/Dashboard!$I$25</f>
        <v>0.30904791401376003</v>
      </c>
      <c r="D261" s="74">
        <f t="shared" si="58"/>
        <v>0</v>
      </c>
      <c r="E261" s="73">
        <f>IF($D$2="JA",Dashboard!$K$26-$D$11+D261,Dashboard!$K$26)</f>
        <v>2.3800000000000002E-2</v>
      </c>
      <c r="F261" s="72">
        <f t="shared" si="59"/>
        <v>153.23625736515604</v>
      </c>
      <c r="G261" s="72">
        <f t="shared" si="70"/>
        <v>629.24075277739792</v>
      </c>
      <c r="H261" s="72">
        <f>IFERROR(-PMT(E261^1/12,Dashboard!$I$30-A261,B261),0)</f>
        <v>782.47701014255392</v>
      </c>
      <c r="I261" s="75">
        <f t="shared" si="60"/>
        <v>782.47701014255392</v>
      </c>
      <c r="J261" s="76">
        <f t="shared" si="71"/>
        <v>78832.544609342644</v>
      </c>
      <c r="K261" s="76">
        <f>J261*Dashboard!$K$26/12</f>
        <v>176.0593496275319</v>
      </c>
      <c r="L261" s="76">
        <f t="shared" si="61"/>
        <v>633.02649294982325</v>
      </c>
      <c r="M261" s="76">
        <f>IF(H261=0,0,IFERROR(-PMT(Dashboard!$K$26^1/12,Dashboard!$I$30,Dashboard!$I$26),0))</f>
        <v>809.08584257735515</v>
      </c>
      <c r="P261" s="59">
        <v>250</v>
      </c>
      <c r="Q261" s="28">
        <f t="shared" si="62"/>
        <v>0</v>
      </c>
      <c r="R261" s="20">
        <f>Q261/Dashboard!$I$25</f>
        <v>0</v>
      </c>
      <c r="S261" s="20">
        <f t="shared" si="63"/>
        <v>0</v>
      </c>
      <c r="T261" s="20">
        <f>IF($D$2="JA",Dashboard!$K$27-$S$11+S261,Dashboard!$K$27)</f>
        <v>2.6800000000000001E-2</v>
      </c>
      <c r="U261" s="27">
        <f t="shared" si="64"/>
        <v>0</v>
      </c>
      <c r="V261" s="26">
        <f>IF(Q261&lt;=1,0,Dashboard!$I$27/Dashboard!$I$30)</f>
        <v>0</v>
      </c>
      <c r="W261" s="28">
        <f>Q261*Dashboard!$K$27/12</f>
        <v>0</v>
      </c>
      <c r="Y261" s="59">
        <v>250</v>
      </c>
      <c r="Z261" s="67">
        <f>Dashboard!$I$28</f>
        <v>0</v>
      </c>
      <c r="AA261" s="64">
        <f>IF(Z261&lt;=1,0,Dashboard!$I$30-Y261)</f>
        <v>0</v>
      </c>
      <c r="AB261" s="64">
        <f t="shared" si="65"/>
        <v>0</v>
      </c>
      <c r="AC261" s="1">
        <f>Dashboard!$K$28</f>
        <v>2.6800000000000001E-2</v>
      </c>
      <c r="AD261" s="28">
        <f t="shared" si="66"/>
        <v>0</v>
      </c>
      <c r="AF261" s="2">
        <f t="shared" si="67"/>
        <v>77261.978503440012</v>
      </c>
      <c r="AG261" s="62">
        <f>(B261+Q261+Z261)/Dashboard!$I$25</f>
        <v>0.30904791401376003</v>
      </c>
      <c r="AH261" s="20">
        <f t="shared" si="68"/>
        <v>0</v>
      </c>
      <c r="AI261" s="20">
        <f>IF($D$2="JA",Dashboard!$K$26-$AH$11+AH261,Dashboard!$K$26)</f>
        <v>2.3800000000000002E-2</v>
      </c>
      <c r="AJ261" s="27">
        <f>Tabel2[[#This Row],[Schuldrest]]*AI261/12</f>
        <v>153.23625736515604</v>
      </c>
      <c r="AK261" s="20">
        <f>IF($D$2="JA",Dashboard!$K$27-$AH$11+AH261,Dashboard!$K$27)</f>
        <v>2.3800000000000002E-2</v>
      </c>
      <c r="AL261" s="27">
        <f t="shared" si="54"/>
        <v>0</v>
      </c>
      <c r="AM261" s="20">
        <f>IF($D$2="JA",Dashboard!$K$28-$AH$11+AH261,Dashboard!$K$28)</f>
        <v>2.3800000000000002E-2</v>
      </c>
      <c r="AN261" s="27">
        <f t="shared" si="55"/>
        <v>0</v>
      </c>
      <c r="AO261" s="63">
        <f>Tabel2[[#This Row],[Aflossing]]+V261</f>
        <v>629.24075277739792</v>
      </c>
      <c r="AP261" s="63">
        <f t="shared" si="69"/>
        <v>153.23625736515604</v>
      </c>
      <c r="AQ261" s="2">
        <f t="shared" si="56"/>
        <v>176.0593496275319</v>
      </c>
      <c r="AU261" s="20"/>
      <c r="AV261" s="20"/>
    </row>
    <row r="262" spans="1:48">
      <c r="A262" s="71">
        <v>251</v>
      </c>
      <c r="B262" s="77">
        <f t="shared" si="57"/>
        <v>76632.737750662607</v>
      </c>
      <c r="C262" s="73">
        <f>B262/Dashboard!$I$25</f>
        <v>0.30653095100265043</v>
      </c>
      <c r="D262" s="74">
        <f t="shared" si="58"/>
        <v>0</v>
      </c>
      <c r="E262" s="73">
        <f>IF($D$2="JA",Dashboard!$K$26-$D$11+D262,Dashboard!$K$26)</f>
        <v>2.3800000000000002E-2</v>
      </c>
      <c r="F262" s="72">
        <f t="shared" si="59"/>
        <v>151.98826320548085</v>
      </c>
      <c r="G262" s="72">
        <f t="shared" si="70"/>
        <v>630.48874693707307</v>
      </c>
      <c r="H262" s="72">
        <f>IFERROR(-PMT(E262^1/12,Dashboard!$I$30-A262,B262),0)</f>
        <v>782.47701014255392</v>
      </c>
      <c r="I262" s="75">
        <f t="shared" si="60"/>
        <v>782.47701014255392</v>
      </c>
      <c r="J262" s="76">
        <f t="shared" si="71"/>
        <v>78199.518116392821</v>
      </c>
      <c r="K262" s="76">
        <f>J262*Dashboard!$K$26/12</f>
        <v>174.64559045994397</v>
      </c>
      <c r="L262" s="76">
        <f t="shared" si="61"/>
        <v>634.44025211741121</v>
      </c>
      <c r="M262" s="76">
        <f>IF(H262=0,0,IFERROR(-PMT(Dashboard!$K$26^1/12,Dashboard!$I$30,Dashboard!$I$26),0))</f>
        <v>809.08584257735515</v>
      </c>
      <c r="P262" s="59">
        <v>251</v>
      </c>
      <c r="Q262" s="28">
        <f t="shared" si="62"/>
        <v>0</v>
      </c>
      <c r="R262" s="20">
        <f>Q262/Dashboard!$I$25</f>
        <v>0</v>
      </c>
      <c r="S262" s="20">
        <f t="shared" si="63"/>
        <v>0</v>
      </c>
      <c r="T262" s="20">
        <f>IF($D$2="JA",Dashboard!$K$27-$S$11+S262,Dashboard!$K$27)</f>
        <v>2.6800000000000001E-2</v>
      </c>
      <c r="U262" s="27">
        <f t="shared" si="64"/>
        <v>0</v>
      </c>
      <c r="V262" s="26">
        <f>IF(Q262&lt;=1,0,Dashboard!$I$27/Dashboard!$I$30)</f>
        <v>0</v>
      </c>
      <c r="W262" s="28">
        <f>Q262*Dashboard!$K$27/12</f>
        <v>0</v>
      </c>
      <c r="Y262" s="59">
        <v>251</v>
      </c>
      <c r="Z262" s="67">
        <f>Dashboard!$I$28</f>
        <v>0</v>
      </c>
      <c r="AA262" s="64">
        <f>IF(Z262&lt;=1,0,Dashboard!$I$30-Y262)</f>
        <v>0</v>
      </c>
      <c r="AB262" s="64">
        <f t="shared" si="65"/>
        <v>0</v>
      </c>
      <c r="AC262" s="1">
        <f>Dashboard!$K$28</f>
        <v>2.6800000000000001E-2</v>
      </c>
      <c r="AD262" s="28">
        <f t="shared" si="66"/>
        <v>0</v>
      </c>
      <c r="AF262" s="2">
        <f t="shared" si="67"/>
        <v>76632.737750662607</v>
      </c>
      <c r="AG262" s="62">
        <f>(B262+Q262+Z262)/Dashboard!$I$25</f>
        <v>0.30653095100265043</v>
      </c>
      <c r="AH262" s="20">
        <f t="shared" si="68"/>
        <v>0</v>
      </c>
      <c r="AI262" s="20">
        <f>IF($D$2="JA",Dashboard!$K$26-$AH$11+AH262,Dashboard!$K$26)</f>
        <v>2.3800000000000002E-2</v>
      </c>
      <c r="AJ262" s="27">
        <f>Tabel2[[#This Row],[Schuldrest]]*AI262/12</f>
        <v>151.98826320548085</v>
      </c>
      <c r="AK262" s="20">
        <f>IF($D$2="JA",Dashboard!$K$27-$AH$11+AH262,Dashboard!$K$27)</f>
        <v>2.3800000000000002E-2</v>
      </c>
      <c r="AL262" s="27">
        <f t="shared" si="54"/>
        <v>0</v>
      </c>
      <c r="AM262" s="20">
        <f>IF($D$2="JA",Dashboard!$K$28-$AH$11+AH262,Dashboard!$K$28)</f>
        <v>2.3800000000000002E-2</v>
      </c>
      <c r="AN262" s="27">
        <f t="shared" si="55"/>
        <v>0</v>
      </c>
      <c r="AO262" s="63">
        <f>Tabel2[[#This Row],[Aflossing]]+V262</f>
        <v>630.48874693707307</v>
      </c>
      <c r="AP262" s="63">
        <f t="shared" si="69"/>
        <v>151.98826320548085</v>
      </c>
      <c r="AQ262" s="2">
        <f t="shared" si="56"/>
        <v>174.64559045994397</v>
      </c>
      <c r="AU262" s="20"/>
      <c r="AV262" s="20"/>
    </row>
    <row r="263" spans="1:48">
      <c r="A263" s="71">
        <v>252</v>
      </c>
      <c r="B263" s="77">
        <f t="shared" si="57"/>
        <v>76002.249003725534</v>
      </c>
      <c r="C263" s="73">
        <f>B263/Dashboard!$I$25</f>
        <v>0.30400899601490211</v>
      </c>
      <c r="D263" s="74">
        <f t="shared" si="58"/>
        <v>0</v>
      </c>
      <c r="E263" s="73">
        <f>IF($D$2="JA",Dashboard!$K$26-$D$11+D263,Dashboard!$K$26)</f>
        <v>2.3800000000000002E-2</v>
      </c>
      <c r="F263" s="72">
        <f t="shared" si="59"/>
        <v>150.73779385738899</v>
      </c>
      <c r="G263" s="72">
        <f t="shared" si="70"/>
        <v>631.73921628516496</v>
      </c>
      <c r="H263" s="72">
        <f>IFERROR(-PMT(E263^1/12,Dashboard!$I$30-A263,B263),0)</f>
        <v>782.47701014255392</v>
      </c>
      <c r="I263" s="75">
        <f t="shared" si="60"/>
        <v>782.47701014255392</v>
      </c>
      <c r="J263" s="76">
        <f t="shared" si="71"/>
        <v>77565.077864275416</v>
      </c>
      <c r="K263" s="76">
        <f>J263*Dashboard!$K$26/12</f>
        <v>173.22867389688176</v>
      </c>
      <c r="L263" s="76">
        <f t="shared" si="61"/>
        <v>635.85716868047336</v>
      </c>
      <c r="M263" s="76">
        <f>IF(H263=0,0,IFERROR(-PMT(Dashboard!$K$26^1/12,Dashboard!$I$30,Dashboard!$I$26),0))</f>
        <v>809.08584257735515</v>
      </c>
      <c r="P263" s="59">
        <v>252</v>
      </c>
      <c r="Q263" s="28">
        <f t="shared" si="62"/>
        <v>0</v>
      </c>
      <c r="R263" s="20">
        <f>Q263/Dashboard!$I$25</f>
        <v>0</v>
      </c>
      <c r="S263" s="20">
        <f t="shared" si="63"/>
        <v>0</v>
      </c>
      <c r="T263" s="20">
        <f>IF($D$2="JA",Dashboard!$K$27-$S$11+S263,Dashboard!$K$27)</f>
        <v>2.6800000000000001E-2</v>
      </c>
      <c r="U263" s="27">
        <f t="shared" si="64"/>
        <v>0</v>
      </c>
      <c r="V263" s="26">
        <f>IF(Q263&lt;=1,0,Dashboard!$I$27/Dashboard!$I$30)</f>
        <v>0</v>
      </c>
      <c r="W263" s="28">
        <f>Q263*Dashboard!$K$27/12</f>
        <v>0</v>
      </c>
      <c r="Y263" s="59">
        <v>252</v>
      </c>
      <c r="Z263" s="67">
        <f>Dashboard!$I$28</f>
        <v>0</v>
      </c>
      <c r="AA263" s="64">
        <f>IF(Z263&lt;=1,0,Dashboard!$I$30-Y263)</f>
        <v>0</v>
      </c>
      <c r="AB263" s="64">
        <f t="shared" si="65"/>
        <v>0</v>
      </c>
      <c r="AC263" s="1">
        <f>Dashboard!$K$28</f>
        <v>2.6800000000000001E-2</v>
      </c>
      <c r="AD263" s="28">
        <f t="shared" si="66"/>
        <v>0</v>
      </c>
      <c r="AF263" s="2">
        <f t="shared" si="67"/>
        <v>76002.249003725534</v>
      </c>
      <c r="AG263" s="62">
        <f>(B263+Q263+Z263)/Dashboard!$I$25</f>
        <v>0.30400899601490211</v>
      </c>
      <c r="AH263" s="20">
        <f t="shared" si="68"/>
        <v>0</v>
      </c>
      <c r="AI263" s="20">
        <f>IF($D$2="JA",Dashboard!$K$26-$AH$11+AH263,Dashboard!$K$26)</f>
        <v>2.3800000000000002E-2</v>
      </c>
      <c r="AJ263" s="27">
        <f>Tabel2[[#This Row],[Schuldrest]]*AI263/12</f>
        <v>150.73779385738899</v>
      </c>
      <c r="AK263" s="20">
        <f>IF($D$2="JA",Dashboard!$K$27-$AH$11+AH263,Dashboard!$K$27)</f>
        <v>2.3800000000000002E-2</v>
      </c>
      <c r="AL263" s="27">
        <f t="shared" si="54"/>
        <v>0</v>
      </c>
      <c r="AM263" s="20">
        <f>IF($D$2="JA",Dashboard!$K$28-$AH$11+AH263,Dashboard!$K$28)</f>
        <v>2.3800000000000002E-2</v>
      </c>
      <c r="AN263" s="27">
        <f t="shared" si="55"/>
        <v>0</v>
      </c>
      <c r="AO263" s="63">
        <f>Tabel2[[#This Row],[Aflossing]]+V263</f>
        <v>631.73921628516496</v>
      </c>
      <c r="AP263" s="63">
        <f t="shared" si="69"/>
        <v>150.73779385738899</v>
      </c>
      <c r="AQ263" s="2">
        <f t="shared" si="56"/>
        <v>173.22867389688176</v>
      </c>
      <c r="AU263" s="20"/>
      <c r="AV263" s="20"/>
    </row>
    <row r="264" spans="1:48">
      <c r="A264" s="71">
        <v>253</v>
      </c>
      <c r="B264" s="77">
        <f t="shared" si="57"/>
        <v>75370.509787440373</v>
      </c>
      <c r="C264" s="73">
        <f>B264/Dashboard!$I$25</f>
        <v>0.30148203914976152</v>
      </c>
      <c r="D264" s="74">
        <f t="shared" si="58"/>
        <v>0</v>
      </c>
      <c r="E264" s="73">
        <f>IF($D$2="JA",Dashboard!$K$26-$D$11+D264,Dashboard!$K$26)</f>
        <v>2.3800000000000002E-2</v>
      </c>
      <c r="F264" s="72">
        <f t="shared" si="59"/>
        <v>149.48484441175677</v>
      </c>
      <c r="G264" s="72">
        <f t="shared" si="70"/>
        <v>632.99216573079718</v>
      </c>
      <c r="H264" s="72">
        <f>IFERROR(-PMT(E264^1/12,Dashboard!$I$30-A264,B264),0)</f>
        <v>782.47701014255392</v>
      </c>
      <c r="I264" s="75">
        <f t="shared" si="60"/>
        <v>782.47701014255392</v>
      </c>
      <c r="J264" s="76">
        <f t="shared" si="71"/>
        <v>76929.220695594937</v>
      </c>
      <c r="K264" s="76">
        <f>J264*Dashboard!$K$26/12</f>
        <v>171.80859288682871</v>
      </c>
      <c r="L264" s="76">
        <f t="shared" si="61"/>
        <v>637.27724969052645</v>
      </c>
      <c r="M264" s="76">
        <f>IF(H264=0,0,IFERROR(-PMT(Dashboard!$K$26^1/12,Dashboard!$I$30,Dashboard!$I$26),0))</f>
        <v>809.08584257735515</v>
      </c>
      <c r="P264" s="59">
        <v>253</v>
      </c>
      <c r="Q264" s="28">
        <f t="shared" si="62"/>
        <v>0</v>
      </c>
      <c r="R264" s="20">
        <f>Q264/Dashboard!$I$25</f>
        <v>0</v>
      </c>
      <c r="S264" s="20">
        <f t="shared" si="63"/>
        <v>0</v>
      </c>
      <c r="T264" s="20">
        <f>IF($D$2="JA",Dashboard!$K$27-$S$11+S264,Dashboard!$K$27)</f>
        <v>2.6800000000000001E-2</v>
      </c>
      <c r="U264" s="27">
        <f t="shared" si="64"/>
        <v>0</v>
      </c>
      <c r="V264" s="26">
        <f>IF(Q264&lt;=1,0,Dashboard!$I$27/Dashboard!$I$30)</f>
        <v>0</v>
      </c>
      <c r="W264" s="28">
        <f>Q264*Dashboard!$K$27/12</f>
        <v>0</v>
      </c>
      <c r="Y264" s="59">
        <v>253</v>
      </c>
      <c r="Z264" s="67">
        <f>Dashboard!$I$28</f>
        <v>0</v>
      </c>
      <c r="AA264" s="64">
        <f>IF(Z264&lt;=1,0,Dashboard!$I$30-Y264)</f>
        <v>0</v>
      </c>
      <c r="AB264" s="64">
        <f t="shared" si="65"/>
        <v>0</v>
      </c>
      <c r="AC264" s="1">
        <f>Dashboard!$K$28</f>
        <v>2.6800000000000001E-2</v>
      </c>
      <c r="AD264" s="28">
        <f t="shared" si="66"/>
        <v>0</v>
      </c>
      <c r="AF264" s="2">
        <f t="shared" si="67"/>
        <v>75370.509787440373</v>
      </c>
      <c r="AG264" s="62">
        <f>(B264+Q264+Z264)/Dashboard!$I$25</f>
        <v>0.30148203914976152</v>
      </c>
      <c r="AH264" s="20">
        <f t="shared" si="68"/>
        <v>0</v>
      </c>
      <c r="AI264" s="20">
        <f>IF($D$2="JA",Dashboard!$K$26-$AH$11+AH264,Dashboard!$K$26)</f>
        <v>2.3800000000000002E-2</v>
      </c>
      <c r="AJ264" s="27">
        <f>Tabel2[[#This Row],[Schuldrest]]*AI264/12</f>
        <v>149.48484441175677</v>
      </c>
      <c r="AK264" s="20">
        <f>IF($D$2="JA",Dashboard!$K$27-$AH$11+AH264,Dashboard!$K$27)</f>
        <v>2.3800000000000002E-2</v>
      </c>
      <c r="AL264" s="27">
        <f t="shared" si="54"/>
        <v>0</v>
      </c>
      <c r="AM264" s="20">
        <f>IF($D$2="JA",Dashboard!$K$28-$AH$11+AH264,Dashboard!$K$28)</f>
        <v>2.3800000000000002E-2</v>
      </c>
      <c r="AN264" s="27">
        <f t="shared" si="55"/>
        <v>0</v>
      </c>
      <c r="AO264" s="63">
        <f>Tabel2[[#This Row],[Aflossing]]+V264</f>
        <v>632.99216573079718</v>
      </c>
      <c r="AP264" s="63">
        <f t="shared" si="69"/>
        <v>149.48484441175677</v>
      </c>
      <c r="AQ264" s="2">
        <f t="shared" si="56"/>
        <v>171.80859288682871</v>
      </c>
      <c r="AU264" s="20"/>
      <c r="AV264" s="20"/>
    </row>
    <row r="265" spans="1:48">
      <c r="A265" s="71">
        <v>254</v>
      </c>
      <c r="B265" s="77">
        <f t="shared" si="57"/>
        <v>74737.517621709572</v>
      </c>
      <c r="C265" s="73">
        <f>B265/Dashboard!$I$25</f>
        <v>0.2989500704868383</v>
      </c>
      <c r="D265" s="74">
        <f t="shared" si="58"/>
        <v>0</v>
      </c>
      <c r="E265" s="73">
        <f>IF($D$2="JA",Dashboard!$K$26-$D$11+D265,Dashboard!$K$26)</f>
        <v>2.3800000000000002E-2</v>
      </c>
      <c r="F265" s="72">
        <f t="shared" si="59"/>
        <v>148.22940994972399</v>
      </c>
      <c r="G265" s="72">
        <f t="shared" si="70"/>
        <v>634.24760019282996</v>
      </c>
      <c r="H265" s="72">
        <f>IFERROR(-PMT(E265^1/12,Dashboard!$I$30-A265,B265),0)</f>
        <v>782.47701014255392</v>
      </c>
      <c r="I265" s="75">
        <f t="shared" si="60"/>
        <v>782.47701014255392</v>
      </c>
      <c r="J265" s="76">
        <f t="shared" si="71"/>
        <v>76291.943445904413</v>
      </c>
      <c r="K265" s="76">
        <f>J265*Dashboard!$K$26/12</f>
        <v>170.38534036251986</v>
      </c>
      <c r="L265" s="76">
        <f t="shared" si="61"/>
        <v>638.7005022148353</v>
      </c>
      <c r="M265" s="76">
        <f>IF(H265=0,0,IFERROR(-PMT(Dashboard!$K$26^1/12,Dashboard!$I$30,Dashboard!$I$26),0))</f>
        <v>809.08584257735515</v>
      </c>
      <c r="P265" s="59">
        <v>254</v>
      </c>
      <c r="Q265" s="28">
        <f t="shared" si="62"/>
        <v>0</v>
      </c>
      <c r="R265" s="20">
        <f>Q265/Dashboard!$I$25</f>
        <v>0</v>
      </c>
      <c r="S265" s="20">
        <f t="shared" si="63"/>
        <v>0</v>
      </c>
      <c r="T265" s="20">
        <f>IF($D$2="JA",Dashboard!$K$27-$S$11+S265,Dashboard!$K$27)</f>
        <v>2.6800000000000001E-2</v>
      </c>
      <c r="U265" s="27">
        <f t="shared" si="64"/>
        <v>0</v>
      </c>
      <c r="V265" s="26">
        <f>IF(Q265&lt;=1,0,Dashboard!$I$27/Dashboard!$I$30)</f>
        <v>0</v>
      </c>
      <c r="W265" s="28">
        <f>Q265*Dashboard!$K$27/12</f>
        <v>0</v>
      </c>
      <c r="Y265" s="59">
        <v>254</v>
      </c>
      <c r="Z265" s="67">
        <f>Dashboard!$I$28</f>
        <v>0</v>
      </c>
      <c r="AA265" s="64">
        <f>IF(Z265&lt;=1,0,Dashboard!$I$30-Y265)</f>
        <v>0</v>
      </c>
      <c r="AB265" s="64">
        <f t="shared" si="65"/>
        <v>0</v>
      </c>
      <c r="AC265" s="1">
        <f>Dashboard!$K$28</f>
        <v>2.6800000000000001E-2</v>
      </c>
      <c r="AD265" s="28">
        <f t="shared" si="66"/>
        <v>0</v>
      </c>
      <c r="AF265" s="2">
        <f t="shared" si="67"/>
        <v>74737.517621709572</v>
      </c>
      <c r="AG265" s="62">
        <f>(B265+Q265+Z265)/Dashboard!$I$25</f>
        <v>0.2989500704868383</v>
      </c>
      <c r="AH265" s="20">
        <f t="shared" si="68"/>
        <v>0</v>
      </c>
      <c r="AI265" s="20">
        <f>IF($D$2="JA",Dashboard!$K$26-$AH$11+AH265,Dashboard!$K$26)</f>
        <v>2.3800000000000002E-2</v>
      </c>
      <c r="AJ265" s="27">
        <f>Tabel2[[#This Row],[Schuldrest]]*AI265/12</f>
        <v>148.22940994972399</v>
      </c>
      <c r="AK265" s="20">
        <f>IF($D$2="JA",Dashboard!$K$27-$AH$11+AH265,Dashboard!$K$27)</f>
        <v>2.3800000000000002E-2</v>
      </c>
      <c r="AL265" s="27">
        <f t="shared" si="54"/>
        <v>0</v>
      </c>
      <c r="AM265" s="20">
        <f>IF($D$2="JA",Dashboard!$K$28-$AH$11+AH265,Dashboard!$K$28)</f>
        <v>2.3800000000000002E-2</v>
      </c>
      <c r="AN265" s="27">
        <f t="shared" si="55"/>
        <v>0</v>
      </c>
      <c r="AO265" s="63">
        <f>Tabel2[[#This Row],[Aflossing]]+V265</f>
        <v>634.24760019282996</v>
      </c>
      <c r="AP265" s="63">
        <f t="shared" si="69"/>
        <v>148.22940994972399</v>
      </c>
      <c r="AQ265" s="2">
        <f t="shared" si="56"/>
        <v>170.38534036251986</v>
      </c>
      <c r="AU265" s="20"/>
      <c r="AV265" s="20"/>
    </row>
    <row r="266" spans="1:48">
      <c r="A266" s="71">
        <v>255</v>
      </c>
      <c r="B266" s="77">
        <f t="shared" si="57"/>
        <v>74103.270021516742</v>
      </c>
      <c r="C266" s="73">
        <f>B266/Dashboard!$I$25</f>
        <v>0.29641308008606698</v>
      </c>
      <c r="D266" s="74">
        <f t="shared" si="58"/>
        <v>0</v>
      </c>
      <c r="E266" s="73">
        <f>IF($D$2="JA",Dashboard!$K$26-$D$11+D266,Dashboard!$K$26)</f>
        <v>2.3800000000000002E-2</v>
      </c>
      <c r="F266" s="72">
        <f t="shared" si="59"/>
        <v>146.97148554267488</v>
      </c>
      <c r="G266" s="72">
        <f t="shared" si="70"/>
        <v>635.50552459987921</v>
      </c>
      <c r="H266" s="72">
        <f>IFERROR(-PMT(E266^1/12,Dashboard!$I$30-A266,B266),0)</f>
        <v>782.47701014255404</v>
      </c>
      <c r="I266" s="75">
        <f t="shared" si="60"/>
        <v>782.47701014255404</v>
      </c>
      <c r="J266" s="76">
        <f t="shared" si="71"/>
        <v>75653.242943689576</v>
      </c>
      <c r="K266" s="76">
        <f>J266*Dashboard!$K$26/12</f>
        <v>168.95890924090673</v>
      </c>
      <c r="L266" s="76">
        <f t="shared" si="61"/>
        <v>640.12693333644847</v>
      </c>
      <c r="M266" s="76">
        <f>IF(H266=0,0,IFERROR(-PMT(Dashboard!$K$26^1/12,Dashboard!$I$30,Dashboard!$I$26),0))</f>
        <v>809.08584257735515</v>
      </c>
      <c r="P266" s="59">
        <v>255</v>
      </c>
      <c r="Q266" s="28">
        <f t="shared" si="62"/>
        <v>0</v>
      </c>
      <c r="R266" s="20">
        <f>Q266/Dashboard!$I$25</f>
        <v>0</v>
      </c>
      <c r="S266" s="20">
        <f t="shared" si="63"/>
        <v>0</v>
      </c>
      <c r="T266" s="20">
        <f>IF($D$2="JA",Dashboard!$K$27-$S$11+S266,Dashboard!$K$27)</f>
        <v>2.6800000000000001E-2</v>
      </c>
      <c r="U266" s="27">
        <f t="shared" si="64"/>
        <v>0</v>
      </c>
      <c r="V266" s="26">
        <f>IF(Q266&lt;=1,0,Dashboard!$I$27/Dashboard!$I$30)</f>
        <v>0</v>
      </c>
      <c r="W266" s="28">
        <f>Q266*Dashboard!$K$27/12</f>
        <v>0</v>
      </c>
      <c r="Y266" s="59">
        <v>255</v>
      </c>
      <c r="Z266" s="67">
        <f>Dashboard!$I$28</f>
        <v>0</v>
      </c>
      <c r="AA266" s="64">
        <f>IF(Z266&lt;=1,0,Dashboard!$I$30-Y266)</f>
        <v>0</v>
      </c>
      <c r="AB266" s="64">
        <f t="shared" si="65"/>
        <v>0</v>
      </c>
      <c r="AC266" s="1">
        <f>Dashboard!$K$28</f>
        <v>2.6800000000000001E-2</v>
      </c>
      <c r="AD266" s="28">
        <f t="shared" si="66"/>
        <v>0</v>
      </c>
      <c r="AF266" s="2">
        <f t="shared" si="67"/>
        <v>74103.270021516742</v>
      </c>
      <c r="AG266" s="62">
        <f>(B266+Q266+Z266)/Dashboard!$I$25</f>
        <v>0.29641308008606698</v>
      </c>
      <c r="AH266" s="20">
        <f t="shared" si="68"/>
        <v>0</v>
      </c>
      <c r="AI266" s="20">
        <f>IF($D$2="JA",Dashboard!$K$26-$AH$11+AH266,Dashboard!$K$26)</f>
        <v>2.3800000000000002E-2</v>
      </c>
      <c r="AJ266" s="27">
        <f>Tabel2[[#This Row],[Schuldrest]]*AI266/12</f>
        <v>146.97148554267488</v>
      </c>
      <c r="AK266" s="20">
        <f>IF($D$2="JA",Dashboard!$K$27-$AH$11+AH266,Dashboard!$K$27)</f>
        <v>2.3800000000000002E-2</v>
      </c>
      <c r="AL266" s="27">
        <f t="shared" si="54"/>
        <v>0</v>
      </c>
      <c r="AM266" s="20">
        <f>IF($D$2="JA",Dashboard!$K$28-$AH$11+AH266,Dashboard!$K$28)</f>
        <v>2.3800000000000002E-2</v>
      </c>
      <c r="AN266" s="27">
        <f t="shared" si="55"/>
        <v>0</v>
      </c>
      <c r="AO266" s="63">
        <f>Tabel2[[#This Row],[Aflossing]]+V266</f>
        <v>635.50552459987921</v>
      </c>
      <c r="AP266" s="63">
        <f t="shared" si="69"/>
        <v>146.97148554267488</v>
      </c>
      <c r="AQ266" s="2">
        <f t="shared" si="56"/>
        <v>168.95890924090673</v>
      </c>
      <c r="AU266" s="20"/>
      <c r="AV266" s="20"/>
    </row>
    <row r="267" spans="1:48">
      <c r="A267" s="71">
        <v>256</v>
      </c>
      <c r="B267" s="77">
        <f t="shared" si="57"/>
        <v>73467.764496916861</v>
      </c>
      <c r="C267" s="73">
        <f>B267/Dashboard!$I$25</f>
        <v>0.29387105798766744</v>
      </c>
      <c r="D267" s="74">
        <f t="shared" si="58"/>
        <v>0</v>
      </c>
      <c r="E267" s="73">
        <f>IF($D$2="JA",Dashboard!$K$26-$D$11+D267,Dashboard!$K$26)</f>
        <v>2.3800000000000002E-2</v>
      </c>
      <c r="F267" s="72">
        <f t="shared" si="59"/>
        <v>145.71106625221844</v>
      </c>
      <c r="G267" s="72">
        <f t="shared" si="70"/>
        <v>636.76594389033551</v>
      </c>
      <c r="H267" s="72">
        <f>IFERROR(-PMT(E267^1/12,Dashboard!$I$30-A267,B267),0)</f>
        <v>782.47701014255392</v>
      </c>
      <c r="I267" s="75">
        <f t="shared" si="60"/>
        <v>782.47701014255392</v>
      </c>
      <c r="J267" s="76">
        <f t="shared" si="71"/>
        <v>75013.116010353129</v>
      </c>
      <c r="K267" s="76">
        <f>J267*Dashboard!$K$26/12</f>
        <v>167.529292423122</v>
      </c>
      <c r="L267" s="76">
        <f t="shared" si="61"/>
        <v>641.55655015423315</v>
      </c>
      <c r="M267" s="76">
        <f>IF(H267=0,0,IFERROR(-PMT(Dashboard!$K$26^1/12,Dashboard!$I$30,Dashboard!$I$26),0))</f>
        <v>809.08584257735515</v>
      </c>
      <c r="P267" s="59">
        <v>256</v>
      </c>
      <c r="Q267" s="28">
        <f t="shared" si="62"/>
        <v>0</v>
      </c>
      <c r="R267" s="20">
        <f>Q267/Dashboard!$I$25</f>
        <v>0</v>
      </c>
      <c r="S267" s="20">
        <f t="shared" si="63"/>
        <v>0</v>
      </c>
      <c r="T267" s="20">
        <f>IF($D$2="JA",Dashboard!$K$27-$S$11+S267,Dashboard!$K$27)</f>
        <v>2.6800000000000001E-2</v>
      </c>
      <c r="U267" s="27">
        <f t="shared" si="64"/>
        <v>0</v>
      </c>
      <c r="V267" s="26">
        <f>IF(Q267&lt;=1,0,Dashboard!$I$27/Dashboard!$I$30)</f>
        <v>0</v>
      </c>
      <c r="W267" s="28">
        <f>Q267*Dashboard!$K$27/12</f>
        <v>0</v>
      </c>
      <c r="Y267" s="59">
        <v>256</v>
      </c>
      <c r="Z267" s="67">
        <f>Dashboard!$I$28</f>
        <v>0</v>
      </c>
      <c r="AA267" s="64">
        <f>IF(Z267&lt;=1,0,Dashboard!$I$30-Y267)</f>
        <v>0</v>
      </c>
      <c r="AB267" s="64">
        <f t="shared" si="65"/>
        <v>0</v>
      </c>
      <c r="AC267" s="1">
        <f>Dashboard!$K$28</f>
        <v>2.6800000000000001E-2</v>
      </c>
      <c r="AD267" s="28">
        <f t="shared" si="66"/>
        <v>0</v>
      </c>
      <c r="AF267" s="2">
        <f t="shared" si="67"/>
        <v>73467.764496916861</v>
      </c>
      <c r="AG267" s="62">
        <f>(B267+Q267+Z267)/Dashboard!$I$25</f>
        <v>0.29387105798766744</v>
      </c>
      <c r="AH267" s="20">
        <f t="shared" si="68"/>
        <v>0</v>
      </c>
      <c r="AI267" s="20">
        <f>IF($D$2="JA",Dashboard!$K$26-$AH$11+AH267,Dashboard!$K$26)</f>
        <v>2.3800000000000002E-2</v>
      </c>
      <c r="AJ267" s="27">
        <f>Tabel2[[#This Row],[Schuldrest]]*AI267/12</f>
        <v>145.71106625221844</v>
      </c>
      <c r="AK267" s="20">
        <f>IF($D$2="JA",Dashboard!$K$27-$AH$11+AH267,Dashboard!$K$27)</f>
        <v>2.3800000000000002E-2</v>
      </c>
      <c r="AL267" s="27">
        <f t="shared" ref="AL267:AL330" si="72">Q267*AK267/12</f>
        <v>0</v>
      </c>
      <c r="AM267" s="20">
        <f>IF($D$2="JA",Dashboard!$K$28-$AH$11+AH267,Dashboard!$K$28)</f>
        <v>2.3800000000000002E-2</v>
      </c>
      <c r="AN267" s="27">
        <f t="shared" ref="AN267:AN330" si="73">AB267*AM267/12</f>
        <v>0</v>
      </c>
      <c r="AO267" s="63">
        <f>Tabel2[[#This Row],[Aflossing]]+V267</f>
        <v>636.76594389033551</v>
      </c>
      <c r="AP267" s="63">
        <f t="shared" si="69"/>
        <v>145.71106625221844</v>
      </c>
      <c r="AQ267" s="2">
        <f t="shared" ref="AQ267:AQ330" si="74">K267+W267+AD267</f>
        <v>167.529292423122</v>
      </c>
      <c r="AU267" s="20"/>
      <c r="AV267" s="20"/>
    </row>
    <row r="268" spans="1:48">
      <c r="A268" s="71">
        <v>257</v>
      </c>
      <c r="B268" s="77">
        <f t="shared" ref="B268:B331" si="75">B267-G267</f>
        <v>72830.998553026526</v>
      </c>
      <c r="C268" s="73">
        <f>B268/Dashboard!$I$25</f>
        <v>0.29132399421210609</v>
      </c>
      <c r="D268" s="74">
        <f t="shared" ref="D268:D331" si="76">IF(C268&lt;=$C$5,0,VLOOKUP(C268,$C$6:$E$8,3))</f>
        <v>0</v>
      </c>
      <c r="E268" s="73">
        <f>IF($D$2="JA",Dashboard!$K$26-$D$11+D268,Dashboard!$K$26)</f>
        <v>2.3800000000000002E-2</v>
      </c>
      <c r="F268" s="72">
        <f t="shared" ref="F268:F331" si="77">B268*E268/12</f>
        <v>144.4481471301693</v>
      </c>
      <c r="G268" s="72">
        <f t="shared" si="70"/>
        <v>638.0288630123847</v>
      </c>
      <c r="H268" s="72">
        <f>IFERROR(-PMT(E268^1/12,Dashboard!$I$30-A268,B268),0)</f>
        <v>782.47701014255404</v>
      </c>
      <c r="I268" s="75">
        <f t="shared" ref="I268:I331" si="78">H268</f>
        <v>782.47701014255404</v>
      </c>
      <c r="J268" s="76">
        <f t="shared" si="71"/>
        <v>74371.5594601989</v>
      </c>
      <c r="K268" s="76">
        <f>J268*Dashboard!$K$26/12</f>
        <v>166.0964827944442</v>
      </c>
      <c r="L268" s="76">
        <f t="shared" ref="L268:L331" si="79">M268-K268</f>
        <v>642.98935978291092</v>
      </c>
      <c r="M268" s="76">
        <f>IF(H268=0,0,IFERROR(-PMT(Dashboard!$K$26^1/12,Dashboard!$I$30,Dashboard!$I$26),0))</f>
        <v>809.08584257735515</v>
      </c>
      <c r="P268" s="59">
        <v>257</v>
      </c>
      <c r="Q268" s="28">
        <f t="shared" ref="Q268:Q331" si="80">MAX(Q267-V267,0)</f>
        <v>0</v>
      </c>
      <c r="R268" s="20">
        <f>Q268/Dashboard!$I$25</f>
        <v>0</v>
      </c>
      <c r="S268" s="20">
        <f t="shared" ref="S268:S331" si="81">IF(R268&lt;=$C$5,0,VLOOKUP(C268,$C$6:$E$8,3))</f>
        <v>0</v>
      </c>
      <c r="T268" s="20">
        <f>IF($D$2="JA",Dashboard!$K$27-$S$11+S268,Dashboard!$K$27)</f>
        <v>2.6800000000000001E-2</v>
      </c>
      <c r="U268" s="27">
        <f t="shared" ref="U268:U331" si="82">Q268*T268/12</f>
        <v>0</v>
      </c>
      <c r="V268" s="26">
        <f>IF(Q268&lt;=1,0,Dashboard!$I$27/Dashboard!$I$30)</f>
        <v>0</v>
      </c>
      <c r="W268" s="28">
        <f>Q268*Dashboard!$K$27/12</f>
        <v>0</v>
      </c>
      <c r="Y268" s="59">
        <v>257</v>
      </c>
      <c r="Z268" s="67">
        <f>Dashboard!$I$28</f>
        <v>0</v>
      </c>
      <c r="AA268" s="64">
        <f>IF(Z268&lt;=1,0,Dashboard!$I$30-Y268)</f>
        <v>0</v>
      </c>
      <c r="AB268" s="64">
        <f t="shared" ref="AB268:AB331" si="83">IF(AA268&lt;=0,0,Z268)</f>
        <v>0</v>
      </c>
      <c r="AC268" s="1">
        <f>Dashboard!$K$28</f>
        <v>2.6800000000000001E-2</v>
      </c>
      <c r="AD268" s="28">
        <f t="shared" ref="AD268:AD331" si="84">AB268*AC268/12</f>
        <v>0</v>
      </c>
      <c r="AF268" s="2">
        <f t="shared" ref="AF268:AF331" si="85">SUM(B268,Q268,AB268)</f>
        <v>72830.998553026526</v>
      </c>
      <c r="AG268" s="62">
        <f>(B268+Q268+Z268)/Dashboard!$I$25</f>
        <v>0.29132399421210609</v>
      </c>
      <c r="AH268" s="20">
        <f t="shared" ref="AH268:AH331" si="86">IF(AG268&lt;=$C$5,0,VLOOKUP(AG268,$C$6:$E$8,3))</f>
        <v>0</v>
      </c>
      <c r="AI268" s="20">
        <f>IF($D$2="JA",Dashboard!$K$26-$AH$11+AH268,Dashboard!$K$26)</f>
        <v>2.3800000000000002E-2</v>
      </c>
      <c r="AJ268" s="27">
        <f>Tabel2[[#This Row],[Schuldrest]]*AI268/12</f>
        <v>144.4481471301693</v>
      </c>
      <c r="AK268" s="20">
        <f>IF($D$2="JA",Dashboard!$K$27-$AH$11+AH268,Dashboard!$K$27)</f>
        <v>2.3800000000000002E-2</v>
      </c>
      <c r="AL268" s="27">
        <f t="shared" si="72"/>
        <v>0</v>
      </c>
      <c r="AM268" s="20">
        <f>IF($D$2="JA",Dashboard!$K$28-$AH$11+AH268,Dashboard!$K$28)</f>
        <v>2.3800000000000002E-2</v>
      </c>
      <c r="AN268" s="27">
        <f t="shared" si="73"/>
        <v>0</v>
      </c>
      <c r="AO268" s="63">
        <f>Tabel2[[#This Row],[Aflossing]]+V268</f>
        <v>638.0288630123847</v>
      </c>
      <c r="AP268" s="63">
        <f t="shared" ref="AP268:AP331" si="87">AJ268+AL268+AN268</f>
        <v>144.4481471301693</v>
      </c>
      <c r="AQ268" s="2">
        <f t="shared" si="74"/>
        <v>166.0964827944442</v>
      </c>
      <c r="AU268" s="20"/>
      <c r="AV268" s="20"/>
    </row>
    <row r="269" spans="1:48">
      <c r="A269" s="71">
        <v>258</v>
      </c>
      <c r="B269" s="77">
        <f t="shared" si="75"/>
        <v>72192.969690014143</v>
      </c>
      <c r="C269" s="73">
        <f>B269/Dashboard!$I$25</f>
        <v>0.28877187876005656</v>
      </c>
      <c r="D269" s="74">
        <f t="shared" si="76"/>
        <v>0</v>
      </c>
      <c r="E269" s="73">
        <f>IF($D$2="JA",Dashboard!$K$26-$D$11+D269,Dashboard!$K$26)</f>
        <v>2.3800000000000002E-2</v>
      </c>
      <c r="F269" s="72">
        <f t="shared" si="77"/>
        <v>143.18272321852805</v>
      </c>
      <c r="G269" s="72">
        <f t="shared" ref="G269:G332" si="88">H269-F269</f>
        <v>639.29428692402587</v>
      </c>
      <c r="H269" s="72">
        <f>IFERROR(-PMT(E269^1/12,Dashboard!$I$30-A269,B269),0)</f>
        <v>782.47701014255392</v>
      </c>
      <c r="I269" s="75">
        <f t="shared" si="78"/>
        <v>782.47701014255392</v>
      </c>
      <c r="J269" s="76">
        <f t="shared" ref="J269:J332" si="89">MAX(J268-L268,0)</f>
        <v>73728.570100415993</v>
      </c>
      <c r="K269" s="76">
        <f>J269*Dashboard!$K$26/12</f>
        <v>164.6604732242624</v>
      </c>
      <c r="L269" s="76">
        <f t="shared" si="79"/>
        <v>644.42536935309272</v>
      </c>
      <c r="M269" s="76">
        <f>IF(H269=0,0,IFERROR(-PMT(Dashboard!$K$26^1/12,Dashboard!$I$30,Dashboard!$I$26),0))</f>
        <v>809.08584257735515</v>
      </c>
      <c r="P269" s="59">
        <v>258</v>
      </c>
      <c r="Q269" s="28">
        <f t="shared" si="80"/>
        <v>0</v>
      </c>
      <c r="R269" s="20">
        <f>Q269/Dashboard!$I$25</f>
        <v>0</v>
      </c>
      <c r="S269" s="20">
        <f t="shared" si="81"/>
        <v>0</v>
      </c>
      <c r="T269" s="20">
        <f>IF($D$2="JA",Dashboard!$K$27-$S$11+S269,Dashboard!$K$27)</f>
        <v>2.6800000000000001E-2</v>
      </c>
      <c r="U269" s="27">
        <f t="shared" si="82"/>
        <v>0</v>
      </c>
      <c r="V269" s="26">
        <f>IF(Q269&lt;=1,0,Dashboard!$I$27/Dashboard!$I$30)</f>
        <v>0</v>
      </c>
      <c r="W269" s="28">
        <f>Q269*Dashboard!$K$27/12</f>
        <v>0</v>
      </c>
      <c r="Y269" s="59">
        <v>258</v>
      </c>
      <c r="Z269" s="67">
        <f>Dashboard!$I$28</f>
        <v>0</v>
      </c>
      <c r="AA269" s="64">
        <f>IF(Z269&lt;=1,0,Dashboard!$I$30-Y269)</f>
        <v>0</v>
      </c>
      <c r="AB269" s="64">
        <f t="shared" si="83"/>
        <v>0</v>
      </c>
      <c r="AC269" s="1">
        <f>Dashboard!$K$28</f>
        <v>2.6800000000000001E-2</v>
      </c>
      <c r="AD269" s="28">
        <f t="shared" si="84"/>
        <v>0</v>
      </c>
      <c r="AF269" s="2">
        <f t="shared" si="85"/>
        <v>72192.969690014143</v>
      </c>
      <c r="AG269" s="62">
        <f>(B269+Q269+Z269)/Dashboard!$I$25</f>
        <v>0.28877187876005656</v>
      </c>
      <c r="AH269" s="20">
        <f t="shared" si="86"/>
        <v>0</v>
      </c>
      <c r="AI269" s="20">
        <f>IF($D$2="JA",Dashboard!$K$26-$AH$11+AH269,Dashboard!$K$26)</f>
        <v>2.3800000000000002E-2</v>
      </c>
      <c r="AJ269" s="27">
        <f>Tabel2[[#This Row],[Schuldrest]]*AI269/12</f>
        <v>143.18272321852805</v>
      </c>
      <c r="AK269" s="20">
        <f>IF($D$2="JA",Dashboard!$K$27-$AH$11+AH269,Dashboard!$K$27)</f>
        <v>2.3800000000000002E-2</v>
      </c>
      <c r="AL269" s="27">
        <f t="shared" si="72"/>
        <v>0</v>
      </c>
      <c r="AM269" s="20">
        <f>IF($D$2="JA",Dashboard!$K$28-$AH$11+AH269,Dashboard!$K$28)</f>
        <v>2.3800000000000002E-2</v>
      </c>
      <c r="AN269" s="27">
        <f t="shared" si="73"/>
        <v>0</v>
      </c>
      <c r="AO269" s="63">
        <f>Tabel2[[#This Row],[Aflossing]]+V269</f>
        <v>639.29428692402587</v>
      </c>
      <c r="AP269" s="63">
        <f t="shared" si="87"/>
        <v>143.18272321852805</v>
      </c>
      <c r="AQ269" s="2">
        <f t="shared" si="74"/>
        <v>164.6604732242624</v>
      </c>
      <c r="AU269" s="20"/>
      <c r="AV269" s="20"/>
    </row>
    <row r="270" spans="1:48">
      <c r="A270" s="71">
        <v>259</v>
      </c>
      <c r="B270" s="77">
        <f t="shared" si="75"/>
        <v>71553.675403090121</v>
      </c>
      <c r="C270" s="73">
        <f>B270/Dashboard!$I$25</f>
        <v>0.28621470161236051</v>
      </c>
      <c r="D270" s="74">
        <f t="shared" si="76"/>
        <v>0</v>
      </c>
      <c r="E270" s="73">
        <f>IF($D$2="JA",Dashboard!$K$26-$D$11+D270,Dashboard!$K$26)</f>
        <v>2.3800000000000002E-2</v>
      </c>
      <c r="F270" s="72">
        <f t="shared" si="77"/>
        <v>141.91478954946209</v>
      </c>
      <c r="G270" s="72">
        <f t="shared" si="88"/>
        <v>640.56222059309187</v>
      </c>
      <c r="H270" s="72">
        <f>IFERROR(-PMT(E270^1/12,Dashboard!$I$30-A270,B270),0)</f>
        <v>782.47701014255392</v>
      </c>
      <c r="I270" s="75">
        <f t="shared" si="78"/>
        <v>782.47701014255392</v>
      </c>
      <c r="J270" s="76">
        <f t="shared" si="89"/>
        <v>73084.144731062901</v>
      </c>
      <c r="K270" s="76">
        <f>J270*Dashboard!$K$26/12</f>
        <v>163.22125656604047</v>
      </c>
      <c r="L270" s="76">
        <f t="shared" si="79"/>
        <v>645.86458601131471</v>
      </c>
      <c r="M270" s="76">
        <f>IF(H270=0,0,IFERROR(-PMT(Dashboard!$K$26^1/12,Dashboard!$I$30,Dashboard!$I$26),0))</f>
        <v>809.08584257735515</v>
      </c>
      <c r="P270" s="59">
        <v>259</v>
      </c>
      <c r="Q270" s="28">
        <f t="shared" si="80"/>
        <v>0</v>
      </c>
      <c r="R270" s="20">
        <f>Q270/Dashboard!$I$25</f>
        <v>0</v>
      </c>
      <c r="S270" s="20">
        <f t="shared" si="81"/>
        <v>0</v>
      </c>
      <c r="T270" s="20">
        <f>IF($D$2="JA",Dashboard!$K$27-$S$11+S270,Dashboard!$K$27)</f>
        <v>2.6800000000000001E-2</v>
      </c>
      <c r="U270" s="27">
        <f t="shared" si="82"/>
        <v>0</v>
      </c>
      <c r="V270" s="26">
        <f>IF(Q270&lt;=1,0,Dashboard!$I$27/Dashboard!$I$30)</f>
        <v>0</v>
      </c>
      <c r="W270" s="28">
        <f>Q270*Dashboard!$K$27/12</f>
        <v>0</v>
      </c>
      <c r="Y270" s="59">
        <v>259</v>
      </c>
      <c r="Z270" s="67">
        <f>Dashboard!$I$28</f>
        <v>0</v>
      </c>
      <c r="AA270" s="64">
        <f>IF(Z270&lt;=1,0,Dashboard!$I$30-Y270)</f>
        <v>0</v>
      </c>
      <c r="AB270" s="64">
        <f t="shared" si="83"/>
        <v>0</v>
      </c>
      <c r="AC270" s="1">
        <f>Dashboard!$K$28</f>
        <v>2.6800000000000001E-2</v>
      </c>
      <c r="AD270" s="28">
        <f t="shared" si="84"/>
        <v>0</v>
      </c>
      <c r="AF270" s="2">
        <f t="shared" si="85"/>
        <v>71553.675403090121</v>
      </c>
      <c r="AG270" s="62">
        <f>(B270+Q270+Z270)/Dashboard!$I$25</f>
        <v>0.28621470161236051</v>
      </c>
      <c r="AH270" s="20">
        <f t="shared" si="86"/>
        <v>0</v>
      </c>
      <c r="AI270" s="20">
        <f>IF($D$2="JA",Dashboard!$K$26-$AH$11+AH270,Dashboard!$K$26)</f>
        <v>2.3800000000000002E-2</v>
      </c>
      <c r="AJ270" s="27">
        <f>Tabel2[[#This Row],[Schuldrest]]*AI270/12</f>
        <v>141.91478954946209</v>
      </c>
      <c r="AK270" s="20">
        <f>IF($D$2="JA",Dashboard!$K$27-$AH$11+AH270,Dashboard!$K$27)</f>
        <v>2.3800000000000002E-2</v>
      </c>
      <c r="AL270" s="27">
        <f t="shared" si="72"/>
        <v>0</v>
      </c>
      <c r="AM270" s="20">
        <f>IF($D$2="JA",Dashboard!$K$28-$AH$11+AH270,Dashboard!$K$28)</f>
        <v>2.3800000000000002E-2</v>
      </c>
      <c r="AN270" s="27">
        <f t="shared" si="73"/>
        <v>0</v>
      </c>
      <c r="AO270" s="63">
        <f>Tabel2[[#This Row],[Aflossing]]+V270</f>
        <v>640.56222059309187</v>
      </c>
      <c r="AP270" s="63">
        <f t="shared" si="87"/>
        <v>141.91478954946209</v>
      </c>
      <c r="AQ270" s="2">
        <f t="shared" si="74"/>
        <v>163.22125656604047</v>
      </c>
      <c r="AU270" s="20"/>
      <c r="AV270" s="20"/>
    </row>
    <row r="271" spans="1:48">
      <c r="A271" s="71">
        <v>260</v>
      </c>
      <c r="B271" s="77">
        <f t="shared" si="75"/>
        <v>70913.113182497036</v>
      </c>
      <c r="C271" s="73">
        <f>B271/Dashboard!$I$25</f>
        <v>0.28365245272998812</v>
      </c>
      <c r="D271" s="74">
        <f t="shared" si="76"/>
        <v>0</v>
      </c>
      <c r="E271" s="73">
        <f>IF($D$2="JA",Dashboard!$K$26-$D$11+D271,Dashboard!$K$26)</f>
        <v>2.3800000000000002E-2</v>
      </c>
      <c r="F271" s="72">
        <f t="shared" si="77"/>
        <v>140.64434114528581</v>
      </c>
      <c r="G271" s="72">
        <f t="shared" si="88"/>
        <v>641.83266899726834</v>
      </c>
      <c r="H271" s="72">
        <f>IFERROR(-PMT(E271^1/12,Dashboard!$I$30-A271,B271),0)</f>
        <v>782.47701014255415</v>
      </c>
      <c r="I271" s="75">
        <f t="shared" si="78"/>
        <v>782.47701014255415</v>
      </c>
      <c r="J271" s="76">
        <f t="shared" si="89"/>
        <v>72438.280145051584</v>
      </c>
      <c r="K271" s="76">
        <f>J271*Dashboard!$K$26/12</f>
        <v>161.77882565728189</v>
      </c>
      <c r="L271" s="76">
        <f t="shared" si="79"/>
        <v>647.30701692007324</v>
      </c>
      <c r="M271" s="76">
        <f>IF(H271=0,0,IFERROR(-PMT(Dashboard!$K$26^1/12,Dashboard!$I$30,Dashboard!$I$26),0))</f>
        <v>809.08584257735515</v>
      </c>
      <c r="P271" s="59">
        <v>260</v>
      </c>
      <c r="Q271" s="28">
        <f t="shared" si="80"/>
        <v>0</v>
      </c>
      <c r="R271" s="20">
        <f>Q271/Dashboard!$I$25</f>
        <v>0</v>
      </c>
      <c r="S271" s="20">
        <f t="shared" si="81"/>
        <v>0</v>
      </c>
      <c r="T271" s="20">
        <f>IF($D$2="JA",Dashboard!$K$27-$S$11+S271,Dashboard!$K$27)</f>
        <v>2.6800000000000001E-2</v>
      </c>
      <c r="U271" s="27">
        <f t="shared" si="82"/>
        <v>0</v>
      </c>
      <c r="V271" s="26">
        <f>IF(Q271&lt;=1,0,Dashboard!$I$27/Dashboard!$I$30)</f>
        <v>0</v>
      </c>
      <c r="W271" s="28">
        <f>Q271*Dashboard!$K$27/12</f>
        <v>0</v>
      </c>
      <c r="Y271" s="59">
        <v>260</v>
      </c>
      <c r="Z271" s="67">
        <f>Dashboard!$I$28</f>
        <v>0</v>
      </c>
      <c r="AA271" s="64">
        <f>IF(Z271&lt;=1,0,Dashboard!$I$30-Y271)</f>
        <v>0</v>
      </c>
      <c r="AB271" s="64">
        <f t="shared" si="83"/>
        <v>0</v>
      </c>
      <c r="AC271" s="1">
        <f>Dashboard!$K$28</f>
        <v>2.6800000000000001E-2</v>
      </c>
      <c r="AD271" s="28">
        <f t="shared" si="84"/>
        <v>0</v>
      </c>
      <c r="AF271" s="2">
        <f t="shared" si="85"/>
        <v>70913.113182497036</v>
      </c>
      <c r="AG271" s="62">
        <f>(B271+Q271+Z271)/Dashboard!$I$25</f>
        <v>0.28365245272998812</v>
      </c>
      <c r="AH271" s="20">
        <f t="shared" si="86"/>
        <v>0</v>
      </c>
      <c r="AI271" s="20">
        <f>IF($D$2="JA",Dashboard!$K$26-$AH$11+AH271,Dashboard!$K$26)</f>
        <v>2.3800000000000002E-2</v>
      </c>
      <c r="AJ271" s="27">
        <f>Tabel2[[#This Row],[Schuldrest]]*AI271/12</f>
        <v>140.64434114528581</v>
      </c>
      <c r="AK271" s="20">
        <f>IF($D$2="JA",Dashboard!$K$27-$AH$11+AH271,Dashboard!$K$27)</f>
        <v>2.3800000000000002E-2</v>
      </c>
      <c r="AL271" s="27">
        <f t="shared" si="72"/>
        <v>0</v>
      </c>
      <c r="AM271" s="20">
        <f>IF($D$2="JA",Dashboard!$K$28-$AH$11+AH271,Dashboard!$K$28)</f>
        <v>2.3800000000000002E-2</v>
      </c>
      <c r="AN271" s="27">
        <f t="shared" si="73"/>
        <v>0</v>
      </c>
      <c r="AO271" s="63">
        <f>Tabel2[[#This Row],[Aflossing]]+V271</f>
        <v>641.83266899726834</v>
      </c>
      <c r="AP271" s="63">
        <f t="shared" si="87"/>
        <v>140.64434114528581</v>
      </c>
      <c r="AQ271" s="2">
        <f t="shared" si="74"/>
        <v>161.77882565728189</v>
      </c>
      <c r="AU271" s="20"/>
      <c r="AV271" s="20"/>
    </row>
    <row r="272" spans="1:48">
      <c r="A272" s="71">
        <v>261</v>
      </c>
      <c r="B272" s="77">
        <f t="shared" si="75"/>
        <v>70271.280513499762</v>
      </c>
      <c r="C272" s="73">
        <f>B272/Dashboard!$I$25</f>
        <v>0.28108512205399905</v>
      </c>
      <c r="D272" s="74">
        <f t="shared" si="76"/>
        <v>0</v>
      </c>
      <c r="E272" s="73">
        <f>IF($D$2="JA",Dashboard!$K$26-$D$11+D272,Dashboard!$K$26)</f>
        <v>2.3800000000000002E-2</v>
      </c>
      <c r="F272" s="72">
        <f t="shared" si="77"/>
        <v>139.3713730184412</v>
      </c>
      <c r="G272" s="72">
        <f t="shared" si="88"/>
        <v>643.10563712411283</v>
      </c>
      <c r="H272" s="72">
        <f>IFERROR(-PMT(E272^1/12,Dashboard!$I$30-A272,B272),0)</f>
        <v>782.47701014255404</v>
      </c>
      <c r="I272" s="75">
        <f t="shared" si="78"/>
        <v>782.47701014255404</v>
      </c>
      <c r="J272" s="76">
        <f t="shared" si="89"/>
        <v>71790.973128131503</v>
      </c>
      <c r="K272" s="76">
        <f>J272*Dashboard!$K$26/12</f>
        <v>160.33317331949368</v>
      </c>
      <c r="L272" s="76">
        <f t="shared" si="79"/>
        <v>648.7526692578615</v>
      </c>
      <c r="M272" s="76">
        <f>IF(H272=0,0,IFERROR(-PMT(Dashboard!$K$26^1/12,Dashboard!$I$30,Dashboard!$I$26),0))</f>
        <v>809.08584257735515</v>
      </c>
      <c r="P272" s="59">
        <v>261</v>
      </c>
      <c r="Q272" s="28">
        <f t="shared" si="80"/>
        <v>0</v>
      </c>
      <c r="R272" s="20">
        <f>Q272/Dashboard!$I$25</f>
        <v>0</v>
      </c>
      <c r="S272" s="20">
        <f t="shared" si="81"/>
        <v>0</v>
      </c>
      <c r="T272" s="20">
        <f>IF($D$2="JA",Dashboard!$K$27-$S$11+S272,Dashboard!$K$27)</f>
        <v>2.6800000000000001E-2</v>
      </c>
      <c r="U272" s="27">
        <f t="shared" si="82"/>
        <v>0</v>
      </c>
      <c r="V272" s="26">
        <f>IF(Q272&lt;=1,0,Dashboard!$I$27/Dashboard!$I$30)</f>
        <v>0</v>
      </c>
      <c r="W272" s="28">
        <f>Q272*Dashboard!$K$27/12</f>
        <v>0</v>
      </c>
      <c r="Y272" s="59">
        <v>261</v>
      </c>
      <c r="Z272" s="67">
        <f>Dashboard!$I$28</f>
        <v>0</v>
      </c>
      <c r="AA272" s="64">
        <f>IF(Z272&lt;=1,0,Dashboard!$I$30-Y272)</f>
        <v>0</v>
      </c>
      <c r="AB272" s="64">
        <f t="shared" si="83"/>
        <v>0</v>
      </c>
      <c r="AC272" s="1">
        <f>Dashboard!$K$28</f>
        <v>2.6800000000000001E-2</v>
      </c>
      <c r="AD272" s="28">
        <f t="shared" si="84"/>
        <v>0</v>
      </c>
      <c r="AF272" s="2">
        <f t="shared" si="85"/>
        <v>70271.280513499762</v>
      </c>
      <c r="AG272" s="62">
        <f>(B272+Q272+Z272)/Dashboard!$I$25</f>
        <v>0.28108512205399905</v>
      </c>
      <c r="AH272" s="20">
        <f t="shared" si="86"/>
        <v>0</v>
      </c>
      <c r="AI272" s="20">
        <f>IF($D$2="JA",Dashboard!$K$26-$AH$11+AH272,Dashboard!$K$26)</f>
        <v>2.3800000000000002E-2</v>
      </c>
      <c r="AJ272" s="27">
        <f>Tabel2[[#This Row],[Schuldrest]]*AI272/12</f>
        <v>139.3713730184412</v>
      </c>
      <c r="AK272" s="20">
        <f>IF($D$2="JA",Dashboard!$K$27-$AH$11+AH272,Dashboard!$K$27)</f>
        <v>2.3800000000000002E-2</v>
      </c>
      <c r="AL272" s="27">
        <f t="shared" si="72"/>
        <v>0</v>
      </c>
      <c r="AM272" s="20">
        <f>IF($D$2="JA",Dashboard!$K$28-$AH$11+AH272,Dashboard!$K$28)</f>
        <v>2.3800000000000002E-2</v>
      </c>
      <c r="AN272" s="27">
        <f t="shared" si="73"/>
        <v>0</v>
      </c>
      <c r="AO272" s="63">
        <f>Tabel2[[#This Row],[Aflossing]]+V272</f>
        <v>643.10563712411283</v>
      </c>
      <c r="AP272" s="63">
        <f t="shared" si="87"/>
        <v>139.3713730184412</v>
      </c>
      <c r="AQ272" s="2">
        <f t="shared" si="74"/>
        <v>160.33317331949368</v>
      </c>
      <c r="AU272" s="20"/>
      <c r="AV272" s="20"/>
    </row>
    <row r="273" spans="1:48">
      <c r="A273" s="71">
        <v>262</v>
      </c>
      <c r="B273" s="77">
        <f t="shared" si="75"/>
        <v>69628.174876375648</v>
      </c>
      <c r="C273" s="73">
        <f>B273/Dashboard!$I$25</f>
        <v>0.27851269950550261</v>
      </c>
      <c r="D273" s="74">
        <f t="shared" si="76"/>
        <v>0</v>
      </c>
      <c r="E273" s="73">
        <f>IF($D$2="JA",Dashboard!$K$26-$D$11+D273,Dashboard!$K$26)</f>
        <v>2.3800000000000002E-2</v>
      </c>
      <c r="F273" s="72">
        <f t="shared" si="77"/>
        <v>138.09588017147837</v>
      </c>
      <c r="G273" s="72">
        <f t="shared" si="88"/>
        <v>644.38112997107544</v>
      </c>
      <c r="H273" s="72">
        <f>IFERROR(-PMT(E273^1/12,Dashboard!$I$30-A273,B273),0)</f>
        <v>782.47701014255381</v>
      </c>
      <c r="I273" s="75">
        <f t="shared" si="78"/>
        <v>782.47701014255381</v>
      </c>
      <c r="J273" s="76">
        <f t="shared" si="89"/>
        <v>71142.220458873635</v>
      </c>
      <c r="K273" s="76">
        <f>J273*Dashboard!$K$26/12</f>
        <v>158.88429235815113</v>
      </c>
      <c r="L273" s="76">
        <f t="shared" si="79"/>
        <v>650.20155021920402</v>
      </c>
      <c r="M273" s="76">
        <f>IF(H273=0,0,IFERROR(-PMT(Dashboard!$K$26^1/12,Dashboard!$I$30,Dashboard!$I$26),0))</f>
        <v>809.08584257735515</v>
      </c>
      <c r="P273" s="59">
        <v>262</v>
      </c>
      <c r="Q273" s="28">
        <f t="shared" si="80"/>
        <v>0</v>
      </c>
      <c r="R273" s="20">
        <f>Q273/Dashboard!$I$25</f>
        <v>0</v>
      </c>
      <c r="S273" s="20">
        <f t="shared" si="81"/>
        <v>0</v>
      </c>
      <c r="T273" s="20">
        <f>IF($D$2="JA",Dashboard!$K$27-$S$11+S273,Dashboard!$K$27)</f>
        <v>2.6800000000000001E-2</v>
      </c>
      <c r="U273" s="27">
        <f t="shared" si="82"/>
        <v>0</v>
      </c>
      <c r="V273" s="26">
        <f>IF(Q273&lt;=1,0,Dashboard!$I$27/Dashboard!$I$30)</f>
        <v>0</v>
      </c>
      <c r="W273" s="28">
        <f>Q273*Dashboard!$K$27/12</f>
        <v>0</v>
      </c>
      <c r="Y273" s="59">
        <v>262</v>
      </c>
      <c r="Z273" s="67">
        <f>Dashboard!$I$28</f>
        <v>0</v>
      </c>
      <c r="AA273" s="64">
        <f>IF(Z273&lt;=1,0,Dashboard!$I$30-Y273)</f>
        <v>0</v>
      </c>
      <c r="AB273" s="64">
        <f t="shared" si="83"/>
        <v>0</v>
      </c>
      <c r="AC273" s="1">
        <f>Dashboard!$K$28</f>
        <v>2.6800000000000001E-2</v>
      </c>
      <c r="AD273" s="28">
        <f t="shared" si="84"/>
        <v>0</v>
      </c>
      <c r="AF273" s="2">
        <f t="shared" si="85"/>
        <v>69628.174876375648</v>
      </c>
      <c r="AG273" s="62">
        <f>(B273+Q273+Z273)/Dashboard!$I$25</f>
        <v>0.27851269950550261</v>
      </c>
      <c r="AH273" s="20">
        <f t="shared" si="86"/>
        <v>0</v>
      </c>
      <c r="AI273" s="20">
        <f>IF($D$2="JA",Dashboard!$K$26-$AH$11+AH273,Dashboard!$K$26)</f>
        <v>2.3800000000000002E-2</v>
      </c>
      <c r="AJ273" s="27">
        <f>Tabel2[[#This Row],[Schuldrest]]*AI273/12</f>
        <v>138.09588017147837</v>
      </c>
      <c r="AK273" s="20">
        <f>IF($D$2="JA",Dashboard!$K$27-$AH$11+AH273,Dashboard!$K$27)</f>
        <v>2.3800000000000002E-2</v>
      </c>
      <c r="AL273" s="27">
        <f t="shared" si="72"/>
        <v>0</v>
      </c>
      <c r="AM273" s="20">
        <f>IF($D$2="JA",Dashboard!$K$28-$AH$11+AH273,Dashboard!$K$28)</f>
        <v>2.3800000000000002E-2</v>
      </c>
      <c r="AN273" s="27">
        <f t="shared" si="73"/>
        <v>0</v>
      </c>
      <c r="AO273" s="63">
        <f>Tabel2[[#This Row],[Aflossing]]+V273</f>
        <v>644.38112997107544</v>
      </c>
      <c r="AP273" s="63">
        <f t="shared" si="87"/>
        <v>138.09588017147837</v>
      </c>
      <c r="AQ273" s="2">
        <f t="shared" si="74"/>
        <v>158.88429235815113</v>
      </c>
      <c r="AU273" s="20"/>
      <c r="AV273" s="20"/>
    </row>
    <row r="274" spans="1:48">
      <c r="A274" s="71">
        <v>263</v>
      </c>
      <c r="B274" s="77">
        <f t="shared" si="75"/>
        <v>68983.793746404568</v>
      </c>
      <c r="C274" s="73">
        <f>B274/Dashboard!$I$25</f>
        <v>0.27593517498561826</v>
      </c>
      <c r="D274" s="74">
        <f t="shared" si="76"/>
        <v>0</v>
      </c>
      <c r="E274" s="73">
        <f>IF($D$2="JA",Dashboard!$K$26-$D$11+D274,Dashboard!$K$26)</f>
        <v>2.3800000000000002E-2</v>
      </c>
      <c r="F274" s="72">
        <f t="shared" si="77"/>
        <v>136.81785759703573</v>
      </c>
      <c r="G274" s="72">
        <f t="shared" si="88"/>
        <v>645.65915254551828</v>
      </c>
      <c r="H274" s="72">
        <f>IFERROR(-PMT(E274^1/12,Dashboard!$I$30-A274,B274),0)</f>
        <v>782.47701014255404</v>
      </c>
      <c r="I274" s="75">
        <f t="shared" si="78"/>
        <v>782.47701014255404</v>
      </c>
      <c r="J274" s="76">
        <f t="shared" si="89"/>
        <v>70492.018908654427</v>
      </c>
      <c r="K274" s="76">
        <f>J274*Dashboard!$K$26/12</f>
        <v>157.43217556266157</v>
      </c>
      <c r="L274" s="76">
        <f t="shared" si="79"/>
        <v>651.65366701469361</v>
      </c>
      <c r="M274" s="76">
        <f>IF(H274=0,0,IFERROR(-PMT(Dashboard!$K$26^1/12,Dashboard!$I$30,Dashboard!$I$26),0))</f>
        <v>809.08584257735515</v>
      </c>
      <c r="P274" s="59">
        <v>263</v>
      </c>
      <c r="Q274" s="28">
        <f t="shared" si="80"/>
        <v>0</v>
      </c>
      <c r="R274" s="20">
        <f>Q274/Dashboard!$I$25</f>
        <v>0</v>
      </c>
      <c r="S274" s="20">
        <f t="shared" si="81"/>
        <v>0</v>
      </c>
      <c r="T274" s="20">
        <f>IF($D$2="JA",Dashboard!$K$27-$S$11+S274,Dashboard!$K$27)</f>
        <v>2.6800000000000001E-2</v>
      </c>
      <c r="U274" s="27">
        <f t="shared" si="82"/>
        <v>0</v>
      </c>
      <c r="V274" s="26">
        <f>IF(Q274&lt;=1,0,Dashboard!$I$27/Dashboard!$I$30)</f>
        <v>0</v>
      </c>
      <c r="W274" s="28">
        <f>Q274*Dashboard!$K$27/12</f>
        <v>0</v>
      </c>
      <c r="Y274" s="59">
        <v>263</v>
      </c>
      <c r="Z274" s="67">
        <f>Dashboard!$I$28</f>
        <v>0</v>
      </c>
      <c r="AA274" s="64">
        <f>IF(Z274&lt;=1,0,Dashboard!$I$30-Y274)</f>
        <v>0</v>
      </c>
      <c r="AB274" s="64">
        <f t="shared" si="83"/>
        <v>0</v>
      </c>
      <c r="AC274" s="1">
        <f>Dashboard!$K$28</f>
        <v>2.6800000000000001E-2</v>
      </c>
      <c r="AD274" s="28">
        <f t="shared" si="84"/>
        <v>0</v>
      </c>
      <c r="AF274" s="2">
        <f t="shared" si="85"/>
        <v>68983.793746404568</v>
      </c>
      <c r="AG274" s="62">
        <f>(B274+Q274+Z274)/Dashboard!$I$25</f>
        <v>0.27593517498561826</v>
      </c>
      <c r="AH274" s="20">
        <f t="shared" si="86"/>
        <v>0</v>
      </c>
      <c r="AI274" s="20">
        <f>IF($D$2="JA",Dashboard!$K$26-$AH$11+AH274,Dashboard!$K$26)</f>
        <v>2.3800000000000002E-2</v>
      </c>
      <c r="AJ274" s="27">
        <f>Tabel2[[#This Row],[Schuldrest]]*AI274/12</f>
        <v>136.81785759703573</v>
      </c>
      <c r="AK274" s="20">
        <f>IF($D$2="JA",Dashboard!$K$27-$AH$11+AH274,Dashboard!$K$27)</f>
        <v>2.3800000000000002E-2</v>
      </c>
      <c r="AL274" s="27">
        <f t="shared" si="72"/>
        <v>0</v>
      </c>
      <c r="AM274" s="20">
        <f>IF($D$2="JA",Dashboard!$K$28-$AH$11+AH274,Dashboard!$K$28)</f>
        <v>2.3800000000000002E-2</v>
      </c>
      <c r="AN274" s="27">
        <f t="shared" si="73"/>
        <v>0</v>
      </c>
      <c r="AO274" s="63">
        <f>Tabel2[[#This Row],[Aflossing]]+V274</f>
        <v>645.65915254551828</v>
      </c>
      <c r="AP274" s="63">
        <f t="shared" si="87"/>
        <v>136.81785759703573</v>
      </c>
      <c r="AQ274" s="2">
        <f t="shared" si="74"/>
        <v>157.43217556266157</v>
      </c>
      <c r="AU274" s="20"/>
      <c r="AV274" s="20"/>
    </row>
    <row r="275" spans="1:48">
      <c r="A275" s="71">
        <v>264</v>
      </c>
      <c r="B275" s="77">
        <f t="shared" si="75"/>
        <v>68338.134593859053</v>
      </c>
      <c r="C275" s="73">
        <f>B275/Dashboard!$I$25</f>
        <v>0.27335253837543622</v>
      </c>
      <c r="D275" s="74">
        <f t="shared" si="76"/>
        <v>0</v>
      </c>
      <c r="E275" s="73">
        <f>IF($D$2="JA",Dashboard!$K$26-$D$11+D275,Dashboard!$K$26)</f>
        <v>2.3800000000000002E-2</v>
      </c>
      <c r="F275" s="72">
        <f t="shared" si="77"/>
        <v>135.53730027782046</v>
      </c>
      <c r="G275" s="72">
        <f t="shared" si="88"/>
        <v>646.93970986473357</v>
      </c>
      <c r="H275" s="72">
        <f>IFERROR(-PMT(E275^1/12,Dashboard!$I$30-A275,B275),0)</f>
        <v>782.47701014255404</v>
      </c>
      <c r="I275" s="75">
        <f t="shared" si="78"/>
        <v>782.47701014255404</v>
      </c>
      <c r="J275" s="76">
        <f t="shared" si="89"/>
        <v>69840.365241639738</v>
      </c>
      <c r="K275" s="76">
        <f>J275*Dashboard!$K$26/12</f>
        <v>155.97681570632875</v>
      </c>
      <c r="L275" s="76">
        <f t="shared" si="79"/>
        <v>653.10902687102634</v>
      </c>
      <c r="M275" s="76">
        <f>IF(H275=0,0,IFERROR(-PMT(Dashboard!$K$26^1/12,Dashboard!$I$30,Dashboard!$I$26),0))</f>
        <v>809.08584257735515</v>
      </c>
      <c r="P275" s="59">
        <v>264</v>
      </c>
      <c r="Q275" s="28">
        <f t="shared" si="80"/>
        <v>0</v>
      </c>
      <c r="R275" s="20">
        <f>Q275/Dashboard!$I$25</f>
        <v>0</v>
      </c>
      <c r="S275" s="20">
        <f t="shared" si="81"/>
        <v>0</v>
      </c>
      <c r="T275" s="20">
        <f>IF($D$2="JA",Dashboard!$K$27-$S$11+S275,Dashboard!$K$27)</f>
        <v>2.6800000000000001E-2</v>
      </c>
      <c r="U275" s="27">
        <f t="shared" si="82"/>
        <v>0</v>
      </c>
      <c r="V275" s="26">
        <f>IF(Q275&lt;=1,0,Dashboard!$I$27/Dashboard!$I$30)</f>
        <v>0</v>
      </c>
      <c r="W275" s="28">
        <f>Q275*Dashboard!$K$27/12</f>
        <v>0</v>
      </c>
      <c r="Y275" s="59">
        <v>264</v>
      </c>
      <c r="Z275" s="67">
        <f>Dashboard!$I$28</f>
        <v>0</v>
      </c>
      <c r="AA275" s="64">
        <f>IF(Z275&lt;=1,0,Dashboard!$I$30-Y275)</f>
        <v>0</v>
      </c>
      <c r="AB275" s="64">
        <f t="shared" si="83"/>
        <v>0</v>
      </c>
      <c r="AC275" s="1">
        <f>Dashboard!$K$28</f>
        <v>2.6800000000000001E-2</v>
      </c>
      <c r="AD275" s="28">
        <f t="shared" si="84"/>
        <v>0</v>
      </c>
      <c r="AF275" s="2">
        <f t="shared" si="85"/>
        <v>68338.134593859053</v>
      </c>
      <c r="AG275" s="62">
        <f>(B275+Q275+Z275)/Dashboard!$I$25</f>
        <v>0.27335253837543622</v>
      </c>
      <c r="AH275" s="20">
        <f t="shared" si="86"/>
        <v>0</v>
      </c>
      <c r="AI275" s="20">
        <f>IF($D$2="JA",Dashboard!$K$26-$AH$11+AH275,Dashboard!$K$26)</f>
        <v>2.3800000000000002E-2</v>
      </c>
      <c r="AJ275" s="27">
        <f>Tabel2[[#This Row],[Schuldrest]]*AI275/12</f>
        <v>135.53730027782046</v>
      </c>
      <c r="AK275" s="20">
        <f>IF($D$2="JA",Dashboard!$K$27-$AH$11+AH275,Dashboard!$K$27)</f>
        <v>2.3800000000000002E-2</v>
      </c>
      <c r="AL275" s="27">
        <f t="shared" si="72"/>
        <v>0</v>
      </c>
      <c r="AM275" s="20">
        <f>IF($D$2="JA",Dashboard!$K$28-$AH$11+AH275,Dashboard!$K$28)</f>
        <v>2.3800000000000002E-2</v>
      </c>
      <c r="AN275" s="27">
        <f t="shared" si="73"/>
        <v>0</v>
      </c>
      <c r="AO275" s="63">
        <f>Tabel2[[#This Row],[Aflossing]]+V275</f>
        <v>646.93970986473357</v>
      </c>
      <c r="AP275" s="63">
        <f t="shared" si="87"/>
        <v>135.53730027782046</v>
      </c>
      <c r="AQ275" s="2">
        <f t="shared" si="74"/>
        <v>155.97681570632875</v>
      </c>
      <c r="AU275" s="20"/>
      <c r="AV275" s="20"/>
    </row>
    <row r="276" spans="1:48">
      <c r="A276" s="71">
        <v>265</v>
      </c>
      <c r="B276" s="77">
        <f t="shared" si="75"/>
        <v>67691.194883994322</v>
      </c>
      <c r="C276" s="73">
        <f>B276/Dashboard!$I$25</f>
        <v>0.27076477953597727</v>
      </c>
      <c r="D276" s="74">
        <f t="shared" si="76"/>
        <v>0</v>
      </c>
      <c r="E276" s="73">
        <f>IF($D$2="JA",Dashboard!$K$26-$D$11+D276,Dashboard!$K$26)</f>
        <v>2.3800000000000002E-2</v>
      </c>
      <c r="F276" s="72">
        <f t="shared" si="77"/>
        <v>134.25420318658874</v>
      </c>
      <c r="G276" s="72">
        <f t="shared" si="88"/>
        <v>648.22280695596521</v>
      </c>
      <c r="H276" s="72">
        <f>IFERROR(-PMT(E276^1/12,Dashboard!$I$30-A276,B276),0)</f>
        <v>782.47701014255392</v>
      </c>
      <c r="I276" s="75">
        <f t="shared" si="78"/>
        <v>782.47701014255392</v>
      </c>
      <c r="J276" s="76">
        <f t="shared" si="89"/>
        <v>69187.256214768713</v>
      </c>
      <c r="K276" s="76">
        <f>J276*Dashboard!$K$26/12</f>
        <v>154.51820554631681</v>
      </c>
      <c r="L276" s="76">
        <f t="shared" si="79"/>
        <v>654.56763703103832</v>
      </c>
      <c r="M276" s="76">
        <f>IF(H276=0,0,IFERROR(-PMT(Dashboard!$K$26^1/12,Dashboard!$I$30,Dashboard!$I$26),0))</f>
        <v>809.08584257735515</v>
      </c>
      <c r="P276" s="59">
        <v>265</v>
      </c>
      <c r="Q276" s="28">
        <f t="shared" si="80"/>
        <v>0</v>
      </c>
      <c r="R276" s="20">
        <f>Q276/Dashboard!$I$25</f>
        <v>0</v>
      </c>
      <c r="S276" s="20">
        <f t="shared" si="81"/>
        <v>0</v>
      </c>
      <c r="T276" s="20">
        <f>IF($D$2="JA",Dashboard!$K$27-$S$11+S276,Dashboard!$K$27)</f>
        <v>2.6800000000000001E-2</v>
      </c>
      <c r="U276" s="27">
        <f t="shared" si="82"/>
        <v>0</v>
      </c>
      <c r="V276" s="26">
        <f>IF(Q276&lt;=1,0,Dashboard!$I$27/Dashboard!$I$30)</f>
        <v>0</v>
      </c>
      <c r="W276" s="28">
        <f>Q276*Dashboard!$K$27/12</f>
        <v>0</v>
      </c>
      <c r="Y276" s="59">
        <v>265</v>
      </c>
      <c r="Z276" s="67">
        <f>Dashboard!$I$28</f>
        <v>0</v>
      </c>
      <c r="AA276" s="64">
        <f>IF(Z276&lt;=1,0,Dashboard!$I$30-Y276)</f>
        <v>0</v>
      </c>
      <c r="AB276" s="64">
        <f t="shared" si="83"/>
        <v>0</v>
      </c>
      <c r="AC276" s="1">
        <f>Dashboard!$K$28</f>
        <v>2.6800000000000001E-2</v>
      </c>
      <c r="AD276" s="28">
        <f t="shared" si="84"/>
        <v>0</v>
      </c>
      <c r="AF276" s="2">
        <f t="shared" si="85"/>
        <v>67691.194883994322</v>
      </c>
      <c r="AG276" s="62">
        <f>(B276+Q276+Z276)/Dashboard!$I$25</f>
        <v>0.27076477953597727</v>
      </c>
      <c r="AH276" s="20">
        <f t="shared" si="86"/>
        <v>0</v>
      </c>
      <c r="AI276" s="20">
        <f>IF($D$2="JA",Dashboard!$K$26-$AH$11+AH276,Dashboard!$K$26)</f>
        <v>2.3800000000000002E-2</v>
      </c>
      <c r="AJ276" s="27">
        <f>Tabel2[[#This Row],[Schuldrest]]*AI276/12</f>
        <v>134.25420318658874</v>
      </c>
      <c r="AK276" s="20">
        <f>IF($D$2="JA",Dashboard!$K$27-$AH$11+AH276,Dashboard!$K$27)</f>
        <v>2.3800000000000002E-2</v>
      </c>
      <c r="AL276" s="27">
        <f t="shared" si="72"/>
        <v>0</v>
      </c>
      <c r="AM276" s="20">
        <f>IF($D$2="JA",Dashboard!$K$28-$AH$11+AH276,Dashboard!$K$28)</f>
        <v>2.3800000000000002E-2</v>
      </c>
      <c r="AN276" s="27">
        <f t="shared" si="73"/>
        <v>0</v>
      </c>
      <c r="AO276" s="63">
        <f>Tabel2[[#This Row],[Aflossing]]+V276</f>
        <v>648.22280695596521</v>
      </c>
      <c r="AP276" s="63">
        <f t="shared" si="87"/>
        <v>134.25420318658874</v>
      </c>
      <c r="AQ276" s="2">
        <f t="shared" si="74"/>
        <v>154.51820554631681</v>
      </c>
      <c r="AU276" s="20"/>
      <c r="AV276" s="20"/>
    </row>
    <row r="277" spans="1:48">
      <c r="A277" s="71">
        <v>266</v>
      </c>
      <c r="B277" s="77">
        <f t="shared" si="75"/>
        <v>67042.972077038357</v>
      </c>
      <c r="C277" s="73">
        <f>B277/Dashboard!$I$25</f>
        <v>0.26817188830815342</v>
      </c>
      <c r="D277" s="74">
        <f t="shared" si="76"/>
        <v>0</v>
      </c>
      <c r="E277" s="73">
        <f>IF($D$2="JA",Dashboard!$K$26-$D$11+D277,Dashboard!$K$26)</f>
        <v>2.3800000000000002E-2</v>
      </c>
      <c r="F277" s="72">
        <f t="shared" si="77"/>
        <v>132.96856128612609</v>
      </c>
      <c r="G277" s="72">
        <f t="shared" si="88"/>
        <v>649.508448856428</v>
      </c>
      <c r="H277" s="72">
        <f>IFERROR(-PMT(E277^1/12,Dashboard!$I$30-A277,B277),0)</f>
        <v>782.47701014255404</v>
      </c>
      <c r="I277" s="75">
        <f t="shared" si="78"/>
        <v>782.47701014255404</v>
      </c>
      <c r="J277" s="76">
        <f t="shared" si="89"/>
        <v>68532.688577737674</v>
      </c>
      <c r="K277" s="76">
        <f>J277*Dashboard!$K$26/12</f>
        <v>153.05633782361414</v>
      </c>
      <c r="L277" s="76">
        <f t="shared" si="79"/>
        <v>656.02950475374098</v>
      </c>
      <c r="M277" s="76">
        <f>IF(H277=0,0,IFERROR(-PMT(Dashboard!$K$26^1/12,Dashboard!$I$30,Dashboard!$I$26),0))</f>
        <v>809.08584257735515</v>
      </c>
      <c r="P277" s="59">
        <v>266</v>
      </c>
      <c r="Q277" s="28">
        <f t="shared" si="80"/>
        <v>0</v>
      </c>
      <c r="R277" s="20">
        <f>Q277/Dashboard!$I$25</f>
        <v>0</v>
      </c>
      <c r="S277" s="20">
        <f t="shared" si="81"/>
        <v>0</v>
      </c>
      <c r="T277" s="20">
        <f>IF($D$2="JA",Dashboard!$K$27-$S$11+S277,Dashboard!$K$27)</f>
        <v>2.6800000000000001E-2</v>
      </c>
      <c r="U277" s="27">
        <f t="shared" si="82"/>
        <v>0</v>
      </c>
      <c r="V277" s="26">
        <f>IF(Q277&lt;=1,0,Dashboard!$I$27/Dashboard!$I$30)</f>
        <v>0</v>
      </c>
      <c r="W277" s="28">
        <f>Q277*Dashboard!$K$27/12</f>
        <v>0</v>
      </c>
      <c r="Y277" s="59">
        <v>266</v>
      </c>
      <c r="Z277" s="67">
        <f>Dashboard!$I$28</f>
        <v>0</v>
      </c>
      <c r="AA277" s="64">
        <f>IF(Z277&lt;=1,0,Dashboard!$I$30-Y277)</f>
        <v>0</v>
      </c>
      <c r="AB277" s="64">
        <f t="shared" si="83"/>
        <v>0</v>
      </c>
      <c r="AC277" s="1">
        <f>Dashboard!$K$28</f>
        <v>2.6800000000000001E-2</v>
      </c>
      <c r="AD277" s="28">
        <f t="shared" si="84"/>
        <v>0</v>
      </c>
      <c r="AF277" s="2">
        <f t="shared" si="85"/>
        <v>67042.972077038357</v>
      </c>
      <c r="AG277" s="62">
        <f>(B277+Q277+Z277)/Dashboard!$I$25</f>
        <v>0.26817188830815342</v>
      </c>
      <c r="AH277" s="20">
        <f t="shared" si="86"/>
        <v>0</v>
      </c>
      <c r="AI277" s="20">
        <f>IF($D$2="JA",Dashboard!$K$26-$AH$11+AH277,Dashboard!$K$26)</f>
        <v>2.3800000000000002E-2</v>
      </c>
      <c r="AJ277" s="27">
        <f>Tabel2[[#This Row],[Schuldrest]]*AI277/12</f>
        <v>132.96856128612609</v>
      </c>
      <c r="AK277" s="20">
        <f>IF($D$2="JA",Dashboard!$K$27-$AH$11+AH277,Dashboard!$K$27)</f>
        <v>2.3800000000000002E-2</v>
      </c>
      <c r="AL277" s="27">
        <f t="shared" si="72"/>
        <v>0</v>
      </c>
      <c r="AM277" s="20">
        <f>IF($D$2="JA",Dashboard!$K$28-$AH$11+AH277,Dashboard!$K$28)</f>
        <v>2.3800000000000002E-2</v>
      </c>
      <c r="AN277" s="27">
        <f t="shared" si="73"/>
        <v>0</v>
      </c>
      <c r="AO277" s="63">
        <f>Tabel2[[#This Row],[Aflossing]]+V277</f>
        <v>649.508448856428</v>
      </c>
      <c r="AP277" s="63">
        <f t="shared" si="87"/>
        <v>132.96856128612609</v>
      </c>
      <c r="AQ277" s="2">
        <f t="shared" si="74"/>
        <v>153.05633782361414</v>
      </c>
      <c r="AU277" s="20"/>
      <c r="AV277" s="20"/>
    </row>
    <row r="278" spans="1:48">
      <c r="A278" s="71">
        <v>267</v>
      </c>
      <c r="B278" s="77">
        <f t="shared" si="75"/>
        <v>66393.463628181926</v>
      </c>
      <c r="C278" s="73">
        <f>B278/Dashboard!$I$25</f>
        <v>0.26557385451272769</v>
      </c>
      <c r="D278" s="74">
        <f t="shared" si="76"/>
        <v>0</v>
      </c>
      <c r="E278" s="73">
        <f>IF($D$2="JA",Dashboard!$K$26-$D$11+D278,Dashboard!$K$26)</f>
        <v>2.3800000000000002E-2</v>
      </c>
      <c r="F278" s="72">
        <f t="shared" si="77"/>
        <v>131.68036952922748</v>
      </c>
      <c r="G278" s="72">
        <f t="shared" si="88"/>
        <v>650.79664061332653</v>
      </c>
      <c r="H278" s="72">
        <f>IFERROR(-PMT(E278^1/12,Dashboard!$I$30-A278,B278),0)</f>
        <v>782.47701014255404</v>
      </c>
      <c r="I278" s="75">
        <f t="shared" si="78"/>
        <v>782.47701014255404</v>
      </c>
      <c r="J278" s="76">
        <f t="shared" si="89"/>
        <v>67876.659072983937</v>
      </c>
      <c r="K278" s="76">
        <f>J278*Dashboard!$K$26/12</f>
        <v>151.59120526299748</v>
      </c>
      <c r="L278" s="76">
        <f t="shared" si="79"/>
        <v>657.49463731435765</v>
      </c>
      <c r="M278" s="76">
        <f>IF(H278=0,0,IFERROR(-PMT(Dashboard!$K$26^1/12,Dashboard!$I$30,Dashboard!$I$26),0))</f>
        <v>809.08584257735515</v>
      </c>
      <c r="P278" s="59">
        <v>267</v>
      </c>
      <c r="Q278" s="28">
        <f t="shared" si="80"/>
        <v>0</v>
      </c>
      <c r="R278" s="20">
        <f>Q278/Dashboard!$I$25</f>
        <v>0</v>
      </c>
      <c r="S278" s="20">
        <f t="shared" si="81"/>
        <v>0</v>
      </c>
      <c r="T278" s="20">
        <f>IF($D$2="JA",Dashboard!$K$27-$S$11+S278,Dashboard!$K$27)</f>
        <v>2.6800000000000001E-2</v>
      </c>
      <c r="U278" s="27">
        <f t="shared" si="82"/>
        <v>0</v>
      </c>
      <c r="V278" s="26">
        <f>IF(Q278&lt;=1,0,Dashboard!$I$27/Dashboard!$I$30)</f>
        <v>0</v>
      </c>
      <c r="W278" s="28">
        <f>Q278*Dashboard!$K$27/12</f>
        <v>0</v>
      </c>
      <c r="Y278" s="59">
        <v>267</v>
      </c>
      <c r="Z278" s="67">
        <f>Dashboard!$I$28</f>
        <v>0</v>
      </c>
      <c r="AA278" s="64">
        <f>IF(Z278&lt;=1,0,Dashboard!$I$30-Y278)</f>
        <v>0</v>
      </c>
      <c r="AB278" s="64">
        <f t="shared" si="83"/>
        <v>0</v>
      </c>
      <c r="AC278" s="1">
        <f>Dashboard!$K$28</f>
        <v>2.6800000000000001E-2</v>
      </c>
      <c r="AD278" s="28">
        <f t="shared" si="84"/>
        <v>0</v>
      </c>
      <c r="AF278" s="2">
        <f t="shared" si="85"/>
        <v>66393.463628181926</v>
      </c>
      <c r="AG278" s="62">
        <f>(B278+Q278+Z278)/Dashboard!$I$25</f>
        <v>0.26557385451272769</v>
      </c>
      <c r="AH278" s="20">
        <f t="shared" si="86"/>
        <v>0</v>
      </c>
      <c r="AI278" s="20">
        <f>IF($D$2="JA",Dashboard!$K$26-$AH$11+AH278,Dashboard!$K$26)</f>
        <v>2.3800000000000002E-2</v>
      </c>
      <c r="AJ278" s="27">
        <f>Tabel2[[#This Row],[Schuldrest]]*AI278/12</f>
        <v>131.68036952922748</v>
      </c>
      <c r="AK278" s="20">
        <f>IF($D$2="JA",Dashboard!$K$27-$AH$11+AH278,Dashboard!$K$27)</f>
        <v>2.3800000000000002E-2</v>
      </c>
      <c r="AL278" s="27">
        <f t="shared" si="72"/>
        <v>0</v>
      </c>
      <c r="AM278" s="20">
        <f>IF($D$2="JA",Dashboard!$K$28-$AH$11+AH278,Dashboard!$K$28)</f>
        <v>2.3800000000000002E-2</v>
      </c>
      <c r="AN278" s="27">
        <f t="shared" si="73"/>
        <v>0</v>
      </c>
      <c r="AO278" s="63">
        <f>Tabel2[[#This Row],[Aflossing]]+V278</f>
        <v>650.79664061332653</v>
      </c>
      <c r="AP278" s="63">
        <f t="shared" si="87"/>
        <v>131.68036952922748</v>
      </c>
      <c r="AQ278" s="2">
        <f t="shared" si="74"/>
        <v>151.59120526299748</v>
      </c>
      <c r="AU278" s="20"/>
      <c r="AV278" s="20"/>
    </row>
    <row r="279" spans="1:48">
      <c r="A279" s="71">
        <v>268</v>
      </c>
      <c r="B279" s="77">
        <f t="shared" si="75"/>
        <v>65742.666987568606</v>
      </c>
      <c r="C279" s="73">
        <f>B279/Dashboard!$I$25</f>
        <v>0.26297066795027441</v>
      </c>
      <c r="D279" s="74">
        <f t="shared" si="76"/>
        <v>0</v>
      </c>
      <c r="E279" s="73">
        <f>IF($D$2="JA",Dashboard!$K$26-$D$11+D279,Dashboard!$K$26)</f>
        <v>2.3800000000000002E-2</v>
      </c>
      <c r="F279" s="72">
        <f t="shared" si="77"/>
        <v>130.38962285867774</v>
      </c>
      <c r="G279" s="72">
        <f t="shared" si="88"/>
        <v>652.0873872838763</v>
      </c>
      <c r="H279" s="72">
        <f>IFERROR(-PMT(E279^1/12,Dashboard!$I$30-A279,B279),0)</f>
        <v>782.47701014255404</v>
      </c>
      <c r="I279" s="75">
        <f t="shared" si="78"/>
        <v>782.47701014255404</v>
      </c>
      <c r="J279" s="76">
        <f t="shared" si="89"/>
        <v>67219.164435669576</v>
      </c>
      <c r="K279" s="76">
        <f>J279*Dashboard!$K$26/12</f>
        <v>150.12280057299537</v>
      </c>
      <c r="L279" s="76">
        <f t="shared" si="79"/>
        <v>658.96304200435975</v>
      </c>
      <c r="M279" s="76">
        <f>IF(H279=0,0,IFERROR(-PMT(Dashboard!$K$26^1/12,Dashboard!$I$30,Dashboard!$I$26),0))</f>
        <v>809.08584257735515</v>
      </c>
      <c r="P279" s="59">
        <v>268</v>
      </c>
      <c r="Q279" s="28">
        <f t="shared" si="80"/>
        <v>0</v>
      </c>
      <c r="R279" s="20">
        <f>Q279/Dashboard!$I$25</f>
        <v>0</v>
      </c>
      <c r="S279" s="20">
        <f t="shared" si="81"/>
        <v>0</v>
      </c>
      <c r="T279" s="20">
        <f>IF($D$2="JA",Dashboard!$K$27-$S$11+S279,Dashboard!$K$27)</f>
        <v>2.6800000000000001E-2</v>
      </c>
      <c r="U279" s="27">
        <f t="shared" si="82"/>
        <v>0</v>
      </c>
      <c r="V279" s="26">
        <f>IF(Q279&lt;=1,0,Dashboard!$I$27/Dashboard!$I$30)</f>
        <v>0</v>
      </c>
      <c r="W279" s="28">
        <f>Q279*Dashboard!$K$27/12</f>
        <v>0</v>
      </c>
      <c r="Y279" s="59">
        <v>268</v>
      </c>
      <c r="Z279" s="67">
        <f>Dashboard!$I$28</f>
        <v>0</v>
      </c>
      <c r="AA279" s="64">
        <f>IF(Z279&lt;=1,0,Dashboard!$I$30-Y279)</f>
        <v>0</v>
      </c>
      <c r="AB279" s="64">
        <f t="shared" si="83"/>
        <v>0</v>
      </c>
      <c r="AC279" s="1">
        <f>Dashboard!$K$28</f>
        <v>2.6800000000000001E-2</v>
      </c>
      <c r="AD279" s="28">
        <f t="shared" si="84"/>
        <v>0</v>
      </c>
      <c r="AF279" s="2">
        <f t="shared" si="85"/>
        <v>65742.666987568606</v>
      </c>
      <c r="AG279" s="62">
        <f>(B279+Q279+Z279)/Dashboard!$I$25</f>
        <v>0.26297066795027441</v>
      </c>
      <c r="AH279" s="20">
        <f t="shared" si="86"/>
        <v>0</v>
      </c>
      <c r="AI279" s="20">
        <f>IF($D$2="JA",Dashboard!$K$26-$AH$11+AH279,Dashboard!$K$26)</f>
        <v>2.3800000000000002E-2</v>
      </c>
      <c r="AJ279" s="27">
        <f>Tabel2[[#This Row],[Schuldrest]]*AI279/12</f>
        <v>130.38962285867774</v>
      </c>
      <c r="AK279" s="20">
        <f>IF($D$2="JA",Dashboard!$K$27-$AH$11+AH279,Dashboard!$K$27)</f>
        <v>2.3800000000000002E-2</v>
      </c>
      <c r="AL279" s="27">
        <f t="shared" si="72"/>
        <v>0</v>
      </c>
      <c r="AM279" s="20">
        <f>IF($D$2="JA",Dashboard!$K$28-$AH$11+AH279,Dashboard!$K$28)</f>
        <v>2.3800000000000002E-2</v>
      </c>
      <c r="AN279" s="27">
        <f t="shared" si="73"/>
        <v>0</v>
      </c>
      <c r="AO279" s="63">
        <f>Tabel2[[#This Row],[Aflossing]]+V279</f>
        <v>652.0873872838763</v>
      </c>
      <c r="AP279" s="63">
        <f t="shared" si="87"/>
        <v>130.38962285867774</v>
      </c>
      <c r="AQ279" s="2">
        <f t="shared" si="74"/>
        <v>150.12280057299537</v>
      </c>
      <c r="AU279" s="20"/>
      <c r="AV279" s="20"/>
    </row>
    <row r="280" spans="1:48">
      <c r="A280" s="71">
        <v>269</v>
      </c>
      <c r="B280" s="77">
        <f t="shared" si="75"/>
        <v>65090.579600284727</v>
      </c>
      <c r="C280" s="73">
        <f>B280/Dashboard!$I$25</f>
        <v>0.26036231840113894</v>
      </c>
      <c r="D280" s="74">
        <f t="shared" si="76"/>
        <v>0</v>
      </c>
      <c r="E280" s="73">
        <f>IF($D$2="JA",Dashboard!$K$26-$D$11+D280,Dashboard!$K$26)</f>
        <v>2.3800000000000002E-2</v>
      </c>
      <c r="F280" s="72">
        <f t="shared" si="77"/>
        <v>129.09631620723138</v>
      </c>
      <c r="G280" s="72">
        <f t="shared" si="88"/>
        <v>653.38069393532282</v>
      </c>
      <c r="H280" s="72">
        <f>IFERROR(-PMT(E280^1/12,Dashboard!$I$30-A280,B280),0)</f>
        <v>782.47701014255415</v>
      </c>
      <c r="I280" s="75">
        <f t="shared" si="78"/>
        <v>782.47701014255415</v>
      </c>
      <c r="J280" s="76">
        <f t="shared" si="89"/>
        <v>66560.201393665222</v>
      </c>
      <c r="K280" s="76">
        <f>J280*Dashboard!$K$26/12</f>
        <v>148.65111644585235</v>
      </c>
      <c r="L280" s="76">
        <f t="shared" si="79"/>
        <v>660.43472613150277</v>
      </c>
      <c r="M280" s="76">
        <f>IF(H280=0,0,IFERROR(-PMT(Dashboard!$K$26^1/12,Dashboard!$I$30,Dashboard!$I$26),0))</f>
        <v>809.08584257735515</v>
      </c>
      <c r="P280" s="59">
        <v>269</v>
      </c>
      <c r="Q280" s="28">
        <f t="shared" si="80"/>
        <v>0</v>
      </c>
      <c r="R280" s="20">
        <f>Q280/Dashboard!$I$25</f>
        <v>0</v>
      </c>
      <c r="S280" s="20">
        <f t="shared" si="81"/>
        <v>0</v>
      </c>
      <c r="T280" s="20">
        <f>IF($D$2="JA",Dashboard!$K$27-$S$11+S280,Dashboard!$K$27)</f>
        <v>2.6800000000000001E-2</v>
      </c>
      <c r="U280" s="27">
        <f t="shared" si="82"/>
        <v>0</v>
      </c>
      <c r="V280" s="26">
        <f>IF(Q280&lt;=1,0,Dashboard!$I$27/Dashboard!$I$30)</f>
        <v>0</v>
      </c>
      <c r="W280" s="28">
        <f>Q280*Dashboard!$K$27/12</f>
        <v>0</v>
      </c>
      <c r="Y280" s="59">
        <v>269</v>
      </c>
      <c r="Z280" s="67">
        <f>Dashboard!$I$28</f>
        <v>0</v>
      </c>
      <c r="AA280" s="64">
        <f>IF(Z280&lt;=1,0,Dashboard!$I$30-Y280)</f>
        <v>0</v>
      </c>
      <c r="AB280" s="64">
        <f t="shared" si="83"/>
        <v>0</v>
      </c>
      <c r="AC280" s="1">
        <f>Dashboard!$K$28</f>
        <v>2.6800000000000001E-2</v>
      </c>
      <c r="AD280" s="28">
        <f t="shared" si="84"/>
        <v>0</v>
      </c>
      <c r="AF280" s="2">
        <f t="shared" si="85"/>
        <v>65090.579600284727</v>
      </c>
      <c r="AG280" s="62">
        <f>(B280+Q280+Z280)/Dashboard!$I$25</f>
        <v>0.26036231840113894</v>
      </c>
      <c r="AH280" s="20">
        <f t="shared" si="86"/>
        <v>0</v>
      </c>
      <c r="AI280" s="20">
        <f>IF($D$2="JA",Dashboard!$K$26-$AH$11+AH280,Dashboard!$K$26)</f>
        <v>2.3800000000000002E-2</v>
      </c>
      <c r="AJ280" s="27">
        <f>Tabel2[[#This Row],[Schuldrest]]*AI280/12</f>
        <v>129.09631620723138</v>
      </c>
      <c r="AK280" s="20">
        <f>IF($D$2="JA",Dashboard!$K$27-$AH$11+AH280,Dashboard!$K$27)</f>
        <v>2.3800000000000002E-2</v>
      </c>
      <c r="AL280" s="27">
        <f t="shared" si="72"/>
        <v>0</v>
      </c>
      <c r="AM280" s="20">
        <f>IF($D$2="JA",Dashboard!$K$28-$AH$11+AH280,Dashboard!$K$28)</f>
        <v>2.3800000000000002E-2</v>
      </c>
      <c r="AN280" s="27">
        <f t="shared" si="73"/>
        <v>0</v>
      </c>
      <c r="AO280" s="63">
        <f>Tabel2[[#This Row],[Aflossing]]+V280</f>
        <v>653.38069393532282</v>
      </c>
      <c r="AP280" s="63">
        <f t="shared" si="87"/>
        <v>129.09631620723138</v>
      </c>
      <c r="AQ280" s="2">
        <f t="shared" si="74"/>
        <v>148.65111644585235</v>
      </c>
      <c r="AU280" s="20"/>
      <c r="AV280" s="20"/>
    </row>
    <row r="281" spans="1:48">
      <c r="A281" s="71">
        <v>270</v>
      </c>
      <c r="B281" s="77">
        <f t="shared" si="75"/>
        <v>64437.198906349404</v>
      </c>
      <c r="C281" s="73">
        <f>B281/Dashboard!$I$25</f>
        <v>0.2577487956253976</v>
      </c>
      <c r="D281" s="74">
        <f t="shared" si="76"/>
        <v>0</v>
      </c>
      <c r="E281" s="73">
        <f>IF($D$2="JA",Dashboard!$K$26-$D$11+D281,Dashboard!$K$26)</f>
        <v>2.3800000000000002E-2</v>
      </c>
      <c r="F281" s="72">
        <f t="shared" si="77"/>
        <v>127.80044449759299</v>
      </c>
      <c r="G281" s="72">
        <f t="shared" si="88"/>
        <v>654.6765656449611</v>
      </c>
      <c r="H281" s="72">
        <f>IFERROR(-PMT(E281^1/12,Dashboard!$I$30-A281,B281),0)</f>
        <v>782.47701014255404</v>
      </c>
      <c r="I281" s="75">
        <f t="shared" si="78"/>
        <v>782.47701014255404</v>
      </c>
      <c r="J281" s="76">
        <f t="shared" si="89"/>
        <v>65899.766667533724</v>
      </c>
      <c r="K281" s="76">
        <f>J281*Dashboard!$K$26/12</f>
        <v>147.17614555749199</v>
      </c>
      <c r="L281" s="76">
        <f t="shared" si="79"/>
        <v>661.90969701986319</v>
      </c>
      <c r="M281" s="76">
        <f>IF(H281=0,0,IFERROR(-PMT(Dashboard!$K$26^1/12,Dashboard!$I$30,Dashboard!$I$26),0))</f>
        <v>809.08584257735515</v>
      </c>
      <c r="P281" s="59">
        <v>270</v>
      </c>
      <c r="Q281" s="28">
        <f t="shared" si="80"/>
        <v>0</v>
      </c>
      <c r="R281" s="20">
        <f>Q281/Dashboard!$I$25</f>
        <v>0</v>
      </c>
      <c r="S281" s="20">
        <f t="shared" si="81"/>
        <v>0</v>
      </c>
      <c r="T281" s="20">
        <f>IF($D$2="JA",Dashboard!$K$27-$S$11+S281,Dashboard!$K$27)</f>
        <v>2.6800000000000001E-2</v>
      </c>
      <c r="U281" s="27">
        <f t="shared" si="82"/>
        <v>0</v>
      </c>
      <c r="V281" s="26">
        <f>IF(Q281&lt;=1,0,Dashboard!$I$27/Dashboard!$I$30)</f>
        <v>0</v>
      </c>
      <c r="W281" s="28">
        <f>Q281*Dashboard!$K$27/12</f>
        <v>0</v>
      </c>
      <c r="Y281" s="59">
        <v>270</v>
      </c>
      <c r="Z281" s="67">
        <f>Dashboard!$I$28</f>
        <v>0</v>
      </c>
      <c r="AA281" s="64">
        <f>IF(Z281&lt;=1,0,Dashboard!$I$30-Y281)</f>
        <v>0</v>
      </c>
      <c r="AB281" s="64">
        <f t="shared" si="83"/>
        <v>0</v>
      </c>
      <c r="AC281" s="1">
        <f>Dashboard!$K$28</f>
        <v>2.6800000000000001E-2</v>
      </c>
      <c r="AD281" s="28">
        <f t="shared" si="84"/>
        <v>0</v>
      </c>
      <c r="AF281" s="2">
        <f t="shared" si="85"/>
        <v>64437.198906349404</v>
      </c>
      <c r="AG281" s="62">
        <f>(B281+Q281+Z281)/Dashboard!$I$25</f>
        <v>0.2577487956253976</v>
      </c>
      <c r="AH281" s="20">
        <f t="shared" si="86"/>
        <v>0</v>
      </c>
      <c r="AI281" s="20">
        <f>IF($D$2="JA",Dashboard!$K$26-$AH$11+AH281,Dashboard!$K$26)</f>
        <v>2.3800000000000002E-2</v>
      </c>
      <c r="AJ281" s="27">
        <f>Tabel2[[#This Row],[Schuldrest]]*AI281/12</f>
        <v>127.80044449759299</v>
      </c>
      <c r="AK281" s="20">
        <f>IF($D$2="JA",Dashboard!$K$27-$AH$11+AH281,Dashboard!$K$27)</f>
        <v>2.3800000000000002E-2</v>
      </c>
      <c r="AL281" s="27">
        <f t="shared" si="72"/>
        <v>0</v>
      </c>
      <c r="AM281" s="20">
        <f>IF($D$2="JA",Dashboard!$K$28-$AH$11+AH281,Dashboard!$K$28)</f>
        <v>2.3800000000000002E-2</v>
      </c>
      <c r="AN281" s="27">
        <f t="shared" si="73"/>
        <v>0</v>
      </c>
      <c r="AO281" s="63">
        <f>Tabel2[[#This Row],[Aflossing]]+V281</f>
        <v>654.6765656449611</v>
      </c>
      <c r="AP281" s="63">
        <f t="shared" si="87"/>
        <v>127.80044449759299</v>
      </c>
      <c r="AQ281" s="2">
        <f t="shared" si="74"/>
        <v>147.17614555749199</v>
      </c>
      <c r="AU281" s="20"/>
      <c r="AV281" s="20"/>
    </row>
    <row r="282" spans="1:48">
      <c r="A282" s="71">
        <v>271</v>
      </c>
      <c r="B282" s="77">
        <f t="shared" si="75"/>
        <v>63782.52234070444</v>
      </c>
      <c r="C282" s="73">
        <f>B282/Dashboard!$I$25</f>
        <v>0.25513008936281778</v>
      </c>
      <c r="D282" s="74">
        <f t="shared" si="76"/>
        <v>0</v>
      </c>
      <c r="E282" s="73">
        <f>IF($D$2="JA",Dashboard!$K$26-$D$11+D282,Dashboard!$K$26)</f>
        <v>2.3800000000000002E-2</v>
      </c>
      <c r="F282" s="72">
        <f t="shared" si="77"/>
        <v>126.50200264239714</v>
      </c>
      <c r="G282" s="72">
        <f t="shared" si="88"/>
        <v>655.97500750015683</v>
      </c>
      <c r="H282" s="72">
        <f>IFERROR(-PMT(E282^1/12,Dashboard!$I$30-A282,B282),0)</f>
        <v>782.47701014255404</v>
      </c>
      <c r="I282" s="75">
        <f t="shared" si="78"/>
        <v>782.47701014255404</v>
      </c>
      <c r="J282" s="76">
        <f t="shared" si="89"/>
        <v>65237.856970513858</v>
      </c>
      <c r="K282" s="76">
        <f>J282*Dashboard!$K$26/12</f>
        <v>145.69788056748095</v>
      </c>
      <c r="L282" s="76">
        <f t="shared" si="79"/>
        <v>663.38796200987417</v>
      </c>
      <c r="M282" s="76">
        <f>IF(H282=0,0,IFERROR(-PMT(Dashboard!$K$26^1/12,Dashboard!$I$30,Dashboard!$I$26),0))</f>
        <v>809.08584257735515</v>
      </c>
      <c r="P282" s="59">
        <v>271</v>
      </c>
      <c r="Q282" s="28">
        <f t="shared" si="80"/>
        <v>0</v>
      </c>
      <c r="R282" s="20">
        <f>Q282/Dashboard!$I$25</f>
        <v>0</v>
      </c>
      <c r="S282" s="20">
        <f t="shared" si="81"/>
        <v>0</v>
      </c>
      <c r="T282" s="20">
        <f>IF($D$2="JA",Dashboard!$K$27-$S$11+S282,Dashboard!$K$27)</f>
        <v>2.6800000000000001E-2</v>
      </c>
      <c r="U282" s="27">
        <f t="shared" si="82"/>
        <v>0</v>
      </c>
      <c r="V282" s="26">
        <f>IF(Q282&lt;=1,0,Dashboard!$I$27/Dashboard!$I$30)</f>
        <v>0</v>
      </c>
      <c r="W282" s="28">
        <f>Q282*Dashboard!$K$27/12</f>
        <v>0</v>
      </c>
      <c r="Y282" s="59">
        <v>271</v>
      </c>
      <c r="Z282" s="67">
        <f>Dashboard!$I$28</f>
        <v>0</v>
      </c>
      <c r="AA282" s="64">
        <f>IF(Z282&lt;=1,0,Dashboard!$I$30-Y282)</f>
        <v>0</v>
      </c>
      <c r="AB282" s="64">
        <f t="shared" si="83"/>
        <v>0</v>
      </c>
      <c r="AC282" s="1">
        <f>Dashboard!$K$28</f>
        <v>2.6800000000000001E-2</v>
      </c>
      <c r="AD282" s="28">
        <f t="shared" si="84"/>
        <v>0</v>
      </c>
      <c r="AF282" s="2">
        <f t="shared" si="85"/>
        <v>63782.52234070444</v>
      </c>
      <c r="AG282" s="62">
        <f>(B282+Q282+Z282)/Dashboard!$I$25</f>
        <v>0.25513008936281778</v>
      </c>
      <c r="AH282" s="20">
        <f t="shared" si="86"/>
        <v>0</v>
      </c>
      <c r="AI282" s="20">
        <f>IF($D$2="JA",Dashboard!$K$26-$AH$11+AH282,Dashboard!$K$26)</f>
        <v>2.3800000000000002E-2</v>
      </c>
      <c r="AJ282" s="27">
        <f>Tabel2[[#This Row],[Schuldrest]]*AI282/12</f>
        <v>126.50200264239714</v>
      </c>
      <c r="AK282" s="20">
        <f>IF($D$2="JA",Dashboard!$K$27-$AH$11+AH282,Dashboard!$K$27)</f>
        <v>2.3800000000000002E-2</v>
      </c>
      <c r="AL282" s="27">
        <f t="shared" si="72"/>
        <v>0</v>
      </c>
      <c r="AM282" s="20">
        <f>IF($D$2="JA",Dashboard!$K$28-$AH$11+AH282,Dashboard!$K$28)</f>
        <v>2.3800000000000002E-2</v>
      </c>
      <c r="AN282" s="27">
        <f t="shared" si="73"/>
        <v>0</v>
      </c>
      <c r="AO282" s="63">
        <f>Tabel2[[#This Row],[Aflossing]]+V282</f>
        <v>655.97500750015683</v>
      </c>
      <c r="AP282" s="63">
        <f t="shared" si="87"/>
        <v>126.50200264239714</v>
      </c>
      <c r="AQ282" s="2">
        <f t="shared" si="74"/>
        <v>145.69788056748095</v>
      </c>
      <c r="AU282" s="20"/>
      <c r="AV282" s="20"/>
    </row>
    <row r="283" spans="1:48">
      <c r="A283" s="71">
        <v>272</v>
      </c>
      <c r="B283" s="77">
        <f t="shared" si="75"/>
        <v>63126.547333204282</v>
      </c>
      <c r="C283" s="73">
        <f>B283/Dashboard!$I$25</f>
        <v>0.25250618933281715</v>
      </c>
      <c r="D283" s="74">
        <f t="shared" si="76"/>
        <v>0</v>
      </c>
      <c r="E283" s="73">
        <f>IF($D$2="JA",Dashboard!$K$26-$D$11+D283,Dashboard!$K$26)</f>
        <v>2.3800000000000002E-2</v>
      </c>
      <c r="F283" s="72">
        <f t="shared" si="77"/>
        <v>125.2009855441885</v>
      </c>
      <c r="G283" s="72">
        <f t="shared" si="88"/>
        <v>657.27602459836567</v>
      </c>
      <c r="H283" s="72">
        <f>IFERROR(-PMT(E283^1/12,Dashboard!$I$30-A283,B283),0)</f>
        <v>782.47701014255415</v>
      </c>
      <c r="I283" s="75">
        <f t="shared" si="78"/>
        <v>782.47701014255415</v>
      </c>
      <c r="J283" s="76">
        <f t="shared" si="89"/>
        <v>64574.469008503984</v>
      </c>
      <c r="K283" s="76">
        <f>J283*Dashboard!$K$26/12</f>
        <v>144.21631411899224</v>
      </c>
      <c r="L283" s="76">
        <f t="shared" si="79"/>
        <v>664.86952845836288</v>
      </c>
      <c r="M283" s="76">
        <f>IF(H283=0,0,IFERROR(-PMT(Dashboard!$K$26^1/12,Dashboard!$I$30,Dashboard!$I$26),0))</f>
        <v>809.08584257735515</v>
      </c>
      <c r="P283" s="59">
        <v>272</v>
      </c>
      <c r="Q283" s="28">
        <f t="shared" si="80"/>
        <v>0</v>
      </c>
      <c r="R283" s="20">
        <f>Q283/Dashboard!$I$25</f>
        <v>0</v>
      </c>
      <c r="S283" s="20">
        <f t="shared" si="81"/>
        <v>0</v>
      </c>
      <c r="T283" s="20">
        <f>IF($D$2="JA",Dashboard!$K$27-$S$11+S283,Dashboard!$K$27)</f>
        <v>2.6800000000000001E-2</v>
      </c>
      <c r="U283" s="27">
        <f t="shared" si="82"/>
        <v>0</v>
      </c>
      <c r="V283" s="26">
        <f>IF(Q283&lt;=1,0,Dashboard!$I$27/Dashboard!$I$30)</f>
        <v>0</v>
      </c>
      <c r="W283" s="28">
        <f>Q283*Dashboard!$K$27/12</f>
        <v>0</v>
      </c>
      <c r="Y283" s="59">
        <v>272</v>
      </c>
      <c r="Z283" s="67">
        <f>Dashboard!$I$28</f>
        <v>0</v>
      </c>
      <c r="AA283" s="64">
        <f>IF(Z283&lt;=1,0,Dashboard!$I$30-Y283)</f>
        <v>0</v>
      </c>
      <c r="AB283" s="64">
        <f t="shared" si="83"/>
        <v>0</v>
      </c>
      <c r="AC283" s="1">
        <f>Dashboard!$K$28</f>
        <v>2.6800000000000001E-2</v>
      </c>
      <c r="AD283" s="28">
        <f t="shared" si="84"/>
        <v>0</v>
      </c>
      <c r="AF283" s="2">
        <f t="shared" si="85"/>
        <v>63126.547333204282</v>
      </c>
      <c r="AG283" s="62">
        <f>(B283+Q283+Z283)/Dashboard!$I$25</f>
        <v>0.25250618933281715</v>
      </c>
      <c r="AH283" s="20">
        <f t="shared" si="86"/>
        <v>0</v>
      </c>
      <c r="AI283" s="20">
        <f>IF($D$2="JA",Dashboard!$K$26-$AH$11+AH283,Dashboard!$K$26)</f>
        <v>2.3800000000000002E-2</v>
      </c>
      <c r="AJ283" s="27">
        <f>Tabel2[[#This Row],[Schuldrest]]*AI283/12</f>
        <v>125.2009855441885</v>
      </c>
      <c r="AK283" s="20">
        <f>IF($D$2="JA",Dashboard!$K$27-$AH$11+AH283,Dashboard!$K$27)</f>
        <v>2.3800000000000002E-2</v>
      </c>
      <c r="AL283" s="27">
        <f t="shared" si="72"/>
        <v>0</v>
      </c>
      <c r="AM283" s="20">
        <f>IF($D$2="JA",Dashboard!$K$28-$AH$11+AH283,Dashboard!$K$28)</f>
        <v>2.3800000000000002E-2</v>
      </c>
      <c r="AN283" s="27">
        <f t="shared" si="73"/>
        <v>0</v>
      </c>
      <c r="AO283" s="63">
        <f>Tabel2[[#This Row],[Aflossing]]+V283</f>
        <v>657.27602459836567</v>
      </c>
      <c r="AP283" s="63">
        <f t="shared" si="87"/>
        <v>125.2009855441885</v>
      </c>
      <c r="AQ283" s="2">
        <f t="shared" si="74"/>
        <v>144.21631411899224</v>
      </c>
      <c r="AU283" s="20"/>
      <c r="AV283" s="20"/>
    </row>
    <row r="284" spans="1:48">
      <c r="A284" s="71">
        <v>273</v>
      </c>
      <c r="B284" s="77">
        <f t="shared" si="75"/>
        <v>62469.271308605916</v>
      </c>
      <c r="C284" s="73">
        <f>B284/Dashboard!$I$25</f>
        <v>0.24987708523442367</v>
      </c>
      <c r="D284" s="74">
        <f t="shared" si="76"/>
        <v>0</v>
      </c>
      <c r="E284" s="73">
        <f>IF($D$2="JA",Dashboard!$K$26-$D$11+D284,Dashboard!$K$26)</f>
        <v>2.3800000000000002E-2</v>
      </c>
      <c r="F284" s="72">
        <f t="shared" si="77"/>
        <v>123.89738809540175</v>
      </c>
      <c r="G284" s="72">
        <f t="shared" si="88"/>
        <v>658.57962204715216</v>
      </c>
      <c r="H284" s="72">
        <f>IFERROR(-PMT(E284^1/12,Dashboard!$I$30-A284,B284),0)</f>
        <v>782.47701014255392</v>
      </c>
      <c r="I284" s="75">
        <f t="shared" si="78"/>
        <v>782.47701014255392</v>
      </c>
      <c r="J284" s="76">
        <f t="shared" si="89"/>
        <v>63909.599480045617</v>
      </c>
      <c r="K284" s="76">
        <f>J284*Dashboard!$K$26/12</f>
        <v>142.73143883876855</v>
      </c>
      <c r="L284" s="76">
        <f t="shared" si="79"/>
        <v>666.3544037385866</v>
      </c>
      <c r="M284" s="76">
        <f>IF(H284=0,0,IFERROR(-PMT(Dashboard!$K$26^1/12,Dashboard!$I$30,Dashboard!$I$26),0))</f>
        <v>809.08584257735515</v>
      </c>
      <c r="P284" s="59">
        <v>273</v>
      </c>
      <c r="Q284" s="28">
        <f t="shared" si="80"/>
        <v>0</v>
      </c>
      <c r="R284" s="20">
        <f>Q284/Dashboard!$I$25</f>
        <v>0</v>
      </c>
      <c r="S284" s="20">
        <f t="shared" si="81"/>
        <v>0</v>
      </c>
      <c r="T284" s="20">
        <f>IF($D$2="JA",Dashboard!$K$27-$S$11+S284,Dashboard!$K$27)</f>
        <v>2.6800000000000001E-2</v>
      </c>
      <c r="U284" s="27">
        <f t="shared" si="82"/>
        <v>0</v>
      </c>
      <c r="V284" s="26">
        <f>IF(Q284&lt;=1,0,Dashboard!$I$27/Dashboard!$I$30)</f>
        <v>0</v>
      </c>
      <c r="W284" s="28">
        <f>Q284*Dashboard!$K$27/12</f>
        <v>0</v>
      </c>
      <c r="Y284" s="59">
        <v>273</v>
      </c>
      <c r="Z284" s="67">
        <f>Dashboard!$I$28</f>
        <v>0</v>
      </c>
      <c r="AA284" s="64">
        <f>IF(Z284&lt;=1,0,Dashboard!$I$30-Y284)</f>
        <v>0</v>
      </c>
      <c r="AB284" s="64">
        <f t="shared" si="83"/>
        <v>0</v>
      </c>
      <c r="AC284" s="1">
        <f>Dashboard!$K$28</f>
        <v>2.6800000000000001E-2</v>
      </c>
      <c r="AD284" s="28">
        <f t="shared" si="84"/>
        <v>0</v>
      </c>
      <c r="AF284" s="2">
        <f t="shared" si="85"/>
        <v>62469.271308605916</v>
      </c>
      <c r="AG284" s="62">
        <f>(B284+Q284+Z284)/Dashboard!$I$25</f>
        <v>0.24987708523442367</v>
      </c>
      <c r="AH284" s="20">
        <f t="shared" si="86"/>
        <v>0</v>
      </c>
      <c r="AI284" s="20">
        <f>IF($D$2="JA",Dashboard!$K$26-$AH$11+AH284,Dashboard!$K$26)</f>
        <v>2.3800000000000002E-2</v>
      </c>
      <c r="AJ284" s="27">
        <f>Tabel2[[#This Row],[Schuldrest]]*AI284/12</f>
        <v>123.89738809540175</v>
      </c>
      <c r="AK284" s="20">
        <f>IF($D$2="JA",Dashboard!$K$27-$AH$11+AH284,Dashboard!$K$27)</f>
        <v>2.3800000000000002E-2</v>
      </c>
      <c r="AL284" s="27">
        <f t="shared" si="72"/>
        <v>0</v>
      </c>
      <c r="AM284" s="20">
        <f>IF($D$2="JA",Dashboard!$K$28-$AH$11+AH284,Dashboard!$K$28)</f>
        <v>2.3800000000000002E-2</v>
      </c>
      <c r="AN284" s="27">
        <f t="shared" si="73"/>
        <v>0</v>
      </c>
      <c r="AO284" s="63">
        <f>Tabel2[[#This Row],[Aflossing]]+V284</f>
        <v>658.57962204715216</v>
      </c>
      <c r="AP284" s="63">
        <f t="shared" si="87"/>
        <v>123.89738809540175</v>
      </c>
      <c r="AQ284" s="2">
        <f t="shared" si="74"/>
        <v>142.73143883876855</v>
      </c>
      <c r="AU284" s="20"/>
      <c r="AV284" s="20"/>
    </row>
    <row r="285" spans="1:48">
      <c r="A285" s="71">
        <v>274</v>
      </c>
      <c r="B285" s="77">
        <f t="shared" si="75"/>
        <v>61810.691686558763</v>
      </c>
      <c r="C285" s="73">
        <f>B285/Dashboard!$I$25</f>
        <v>0.24724276674623505</v>
      </c>
      <c r="D285" s="74">
        <f t="shared" si="76"/>
        <v>0</v>
      </c>
      <c r="E285" s="73">
        <f>IF($D$2="JA",Dashboard!$K$26-$D$11+D285,Dashboard!$K$26)</f>
        <v>2.3800000000000002E-2</v>
      </c>
      <c r="F285" s="72">
        <f t="shared" si="77"/>
        <v>122.59120517834155</v>
      </c>
      <c r="G285" s="72">
        <f t="shared" si="88"/>
        <v>659.88580496421241</v>
      </c>
      <c r="H285" s="72">
        <f>IFERROR(-PMT(E285^1/12,Dashboard!$I$30-A285,B285),0)</f>
        <v>782.47701014255392</v>
      </c>
      <c r="I285" s="75">
        <f t="shared" si="78"/>
        <v>782.47701014255392</v>
      </c>
      <c r="J285" s="76">
        <f t="shared" si="89"/>
        <v>63243.24507630703</v>
      </c>
      <c r="K285" s="76">
        <f>J285*Dashboard!$K$26/12</f>
        <v>141.24324733708571</v>
      </c>
      <c r="L285" s="76">
        <f t="shared" si="79"/>
        <v>667.84259524026947</v>
      </c>
      <c r="M285" s="76">
        <f>IF(H285=0,0,IFERROR(-PMT(Dashboard!$K$26^1/12,Dashboard!$I$30,Dashboard!$I$26),0))</f>
        <v>809.08584257735515</v>
      </c>
      <c r="P285" s="59">
        <v>274</v>
      </c>
      <c r="Q285" s="28">
        <f t="shared" si="80"/>
        <v>0</v>
      </c>
      <c r="R285" s="20">
        <f>Q285/Dashboard!$I$25</f>
        <v>0</v>
      </c>
      <c r="S285" s="20">
        <f t="shared" si="81"/>
        <v>0</v>
      </c>
      <c r="T285" s="20">
        <f>IF($D$2="JA",Dashboard!$K$27-$S$11+S285,Dashboard!$K$27)</f>
        <v>2.6800000000000001E-2</v>
      </c>
      <c r="U285" s="27">
        <f t="shared" si="82"/>
        <v>0</v>
      </c>
      <c r="V285" s="26">
        <f>IF(Q285&lt;=1,0,Dashboard!$I$27/Dashboard!$I$30)</f>
        <v>0</v>
      </c>
      <c r="W285" s="28">
        <f>Q285*Dashboard!$K$27/12</f>
        <v>0</v>
      </c>
      <c r="Y285" s="59">
        <v>274</v>
      </c>
      <c r="Z285" s="67">
        <f>Dashboard!$I$28</f>
        <v>0</v>
      </c>
      <c r="AA285" s="64">
        <f>IF(Z285&lt;=1,0,Dashboard!$I$30-Y285)</f>
        <v>0</v>
      </c>
      <c r="AB285" s="64">
        <f t="shared" si="83"/>
        <v>0</v>
      </c>
      <c r="AC285" s="1">
        <f>Dashboard!$K$28</f>
        <v>2.6800000000000001E-2</v>
      </c>
      <c r="AD285" s="28">
        <f t="shared" si="84"/>
        <v>0</v>
      </c>
      <c r="AF285" s="2">
        <f t="shared" si="85"/>
        <v>61810.691686558763</v>
      </c>
      <c r="AG285" s="62">
        <f>(B285+Q285+Z285)/Dashboard!$I$25</f>
        <v>0.24724276674623505</v>
      </c>
      <c r="AH285" s="20">
        <f t="shared" si="86"/>
        <v>0</v>
      </c>
      <c r="AI285" s="20">
        <f>IF($D$2="JA",Dashboard!$K$26-$AH$11+AH285,Dashboard!$K$26)</f>
        <v>2.3800000000000002E-2</v>
      </c>
      <c r="AJ285" s="27">
        <f>Tabel2[[#This Row],[Schuldrest]]*AI285/12</f>
        <v>122.59120517834155</v>
      </c>
      <c r="AK285" s="20">
        <f>IF($D$2="JA",Dashboard!$K$27-$AH$11+AH285,Dashboard!$K$27)</f>
        <v>2.3800000000000002E-2</v>
      </c>
      <c r="AL285" s="27">
        <f t="shared" si="72"/>
        <v>0</v>
      </c>
      <c r="AM285" s="20">
        <f>IF($D$2="JA",Dashboard!$K$28-$AH$11+AH285,Dashboard!$K$28)</f>
        <v>2.3800000000000002E-2</v>
      </c>
      <c r="AN285" s="27">
        <f t="shared" si="73"/>
        <v>0</v>
      </c>
      <c r="AO285" s="63">
        <f>Tabel2[[#This Row],[Aflossing]]+V285</f>
        <v>659.88580496421241</v>
      </c>
      <c r="AP285" s="63">
        <f t="shared" si="87"/>
        <v>122.59120517834155</v>
      </c>
      <c r="AQ285" s="2">
        <f t="shared" si="74"/>
        <v>141.24324733708571</v>
      </c>
      <c r="AU285" s="20"/>
      <c r="AV285" s="20"/>
    </row>
    <row r="286" spans="1:48">
      <c r="A286" s="71">
        <v>275</v>
      </c>
      <c r="B286" s="77">
        <f t="shared" si="75"/>
        <v>61150.805881594548</v>
      </c>
      <c r="C286" s="73">
        <f>B286/Dashboard!$I$25</f>
        <v>0.2446032235263782</v>
      </c>
      <c r="D286" s="74">
        <f t="shared" si="76"/>
        <v>0</v>
      </c>
      <c r="E286" s="73">
        <f>IF($D$2="JA",Dashboard!$K$26-$D$11+D286,Dashboard!$K$26)</f>
        <v>2.3800000000000002E-2</v>
      </c>
      <c r="F286" s="72">
        <f t="shared" si="77"/>
        <v>121.28243166516252</v>
      </c>
      <c r="G286" s="72">
        <f t="shared" si="88"/>
        <v>661.19457847739136</v>
      </c>
      <c r="H286" s="72">
        <f>IFERROR(-PMT(E286^1/12,Dashboard!$I$30-A286,B286),0)</f>
        <v>782.47701014255392</v>
      </c>
      <c r="I286" s="75">
        <f t="shared" si="78"/>
        <v>782.47701014255392</v>
      </c>
      <c r="J286" s="76">
        <f t="shared" si="89"/>
        <v>62575.402481066762</v>
      </c>
      <c r="K286" s="76">
        <f>J286*Dashboard!$K$26/12</f>
        <v>139.75173220771578</v>
      </c>
      <c r="L286" s="76">
        <f t="shared" si="79"/>
        <v>669.33411036963935</v>
      </c>
      <c r="M286" s="76">
        <f>IF(H286=0,0,IFERROR(-PMT(Dashboard!$K$26^1/12,Dashboard!$I$30,Dashboard!$I$26),0))</f>
        <v>809.08584257735515</v>
      </c>
      <c r="P286" s="59">
        <v>275</v>
      </c>
      <c r="Q286" s="28">
        <f t="shared" si="80"/>
        <v>0</v>
      </c>
      <c r="R286" s="20">
        <f>Q286/Dashboard!$I$25</f>
        <v>0</v>
      </c>
      <c r="S286" s="20">
        <f t="shared" si="81"/>
        <v>0</v>
      </c>
      <c r="T286" s="20">
        <f>IF($D$2="JA",Dashboard!$K$27-$S$11+S286,Dashboard!$K$27)</f>
        <v>2.6800000000000001E-2</v>
      </c>
      <c r="U286" s="27">
        <f t="shared" si="82"/>
        <v>0</v>
      </c>
      <c r="V286" s="26">
        <f>IF(Q286&lt;=1,0,Dashboard!$I$27/Dashboard!$I$30)</f>
        <v>0</v>
      </c>
      <c r="W286" s="28">
        <f>Q286*Dashboard!$K$27/12</f>
        <v>0</v>
      </c>
      <c r="Y286" s="59">
        <v>275</v>
      </c>
      <c r="Z286" s="67">
        <f>Dashboard!$I$28</f>
        <v>0</v>
      </c>
      <c r="AA286" s="64">
        <f>IF(Z286&lt;=1,0,Dashboard!$I$30-Y286)</f>
        <v>0</v>
      </c>
      <c r="AB286" s="64">
        <f t="shared" si="83"/>
        <v>0</v>
      </c>
      <c r="AC286" s="1">
        <f>Dashboard!$K$28</f>
        <v>2.6800000000000001E-2</v>
      </c>
      <c r="AD286" s="28">
        <f t="shared" si="84"/>
        <v>0</v>
      </c>
      <c r="AF286" s="2">
        <f t="shared" si="85"/>
        <v>61150.805881594548</v>
      </c>
      <c r="AG286" s="62">
        <f>(B286+Q286+Z286)/Dashboard!$I$25</f>
        <v>0.2446032235263782</v>
      </c>
      <c r="AH286" s="20">
        <f t="shared" si="86"/>
        <v>0</v>
      </c>
      <c r="AI286" s="20">
        <f>IF($D$2="JA",Dashboard!$K$26-$AH$11+AH286,Dashboard!$K$26)</f>
        <v>2.3800000000000002E-2</v>
      </c>
      <c r="AJ286" s="27">
        <f>Tabel2[[#This Row],[Schuldrest]]*AI286/12</f>
        <v>121.28243166516252</v>
      </c>
      <c r="AK286" s="20">
        <f>IF($D$2="JA",Dashboard!$K$27-$AH$11+AH286,Dashboard!$K$27)</f>
        <v>2.3800000000000002E-2</v>
      </c>
      <c r="AL286" s="27">
        <f t="shared" si="72"/>
        <v>0</v>
      </c>
      <c r="AM286" s="20">
        <f>IF($D$2="JA",Dashboard!$K$28-$AH$11+AH286,Dashboard!$K$28)</f>
        <v>2.3800000000000002E-2</v>
      </c>
      <c r="AN286" s="27">
        <f t="shared" si="73"/>
        <v>0</v>
      </c>
      <c r="AO286" s="63">
        <f>Tabel2[[#This Row],[Aflossing]]+V286</f>
        <v>661.19457847739136</v>
      </c>
      <c r="AP286" s="63">
        <f t="shared" si="87"/>
        <v>121.28243166516252</v>
      </c>
      <c r="AQ286" s="2">
        <f t="shared" si="74"/>
        <v>139.75173220771578</v>
      </c>
      <c r="AU286" s="20"/>
      <c r="AV286" s="20"/>
    </row>
    <row r="287" spans="1:48">
      <c r="A287" s="71">
        <v>276</v>
      </c>
      <c r="B287" s="77">
        <f t="shared" si="75"/>
        <v>60489.611303117155</v>
      </c>
      <c r="C287" s="73">
        <f>B287/Dashboard!$I$25</f>
        <v>0.24195844521246862</v>
      </c>
      <c r="D287" s="74">
        <f t="shared" si="76"/>
        <v>0</v>
      </c>
      <c r="E287" s="73">
        <f>IF($D$2="JA",Dashboard!$K$26-$D$11+D287,Dashboard!$K$26)</f>
        <v>2.3800000000000002E-2</v>
      </c>
      <c r="F287" s="72">
        <f t="shared" si="77"/>
        <v>119.97106241784904</v>
      </c>
      <c r="G287" s="72">
        <f t="shared" si="88"/>
        <v>662.50594772470481</v>
      </c>
      <c r="H287" s="72">
        <f>IFERROR(-PMT(E287^1/12,Dashboard!$I$30-A287,B287),0)</f>
        <v>782.47701014255381</v>
      </c>
      <c r="I287" s="75">
        <f t="shared" si="78"/>
        <v>782.47701014255381</v>
      </c>
      <c r="J287" s="76">
        <f t="shared" si="89"/>
        <v>61906.068370697125</v>
      </c>
      <c r="K287" s="76">
        <f>J287*Dashboard!$K$26/12</f>
        <v>138.25688602789026</v>
      </c>
      <c r="L287" s="76">
        <f t="shared" si="79"/>
        <v>670.82895654946492</v>
      </c>
      <c r="M287" s="76">
        <f>IF(H287=0,0,IFERROR(-PMT(Dashboard!$K$26^1/12,Dashboard!$I$30,Dashboard!$I$26),0))</f>
        <v>809.08584257735515</v>
      </c>
      <c r="P287" s="59">
        <v>276</v>
      </c>
      <c r="Q287" s="28">
        <f t="shared" si="80"/>
        <v>0</v>
      </c>
      <c r="R287" s="20">
        <f>Q287/Dashboard!$I$25</f>
        <v>0</v>
      </c>
      <c r="S287" s="20">
        <f t="shared" si="81"/>
        <v>0</v>
      </c>
      <c r="T287" s="20">
        <f>IF($D$2="JA",Dashboard!$K$27-$S$11+S287,Dashboard!$K$27)</f>
        <v>2.6800000000000001E-2</v>
      </c>
      <c r="U287" s="27">
        <f t="shared" si="82"/>
        <v>0</v>
      </c>
      <c r="V287" s="26">
        <f>IF(Q287&lt;=1,0,Dashboard!$I$27/Dashboard!$I$30)</f>
        <v>0</v>
      </c>
      <c r="W287" s="28">
        <f>Q287*Dashboard!$K$27/12</f>
        <v>0</v>
      </c>
      <c r="Y287" s="59">
        <v>276</v>
      </c>
      <c r="Z287" s="67">
        <f>Dashboard!$I$28</f>
        <v>0</v>
      </c>
      <c r="AA287" s="64">
        <f>IF(Z287&lt;=1,0,Dashboard!$I$30-Y287)</f>
        <v>0</v>
      </c>
      <c r="AB287" s="64">
        <f t="shared" si="83"/>
        <v>0</v>
      </c>
      <c r="AC287" s="1">
        <f>Dashboard!$K$28</f>
        <v>2.6800000000000001E-2</v>
      </c>
      <c r="AD287" s="28">
        <f t="shared" si="84"/>
        <v>0</v>
      </c>
      <c r="AF287" s="2">
        <f t="shared" si="85"/>
        <v>60489.611303117155</v>
      </c>
      <c r="AG287" s="62">
        <f>(B287+Q287+Z287)/Dashboard!$I$25</f>
        <v>0.24195844521246862</v>
      </c>
      <c r="AH287" s="20">
        <f t="shared" si="86"/>
        <v>0</v>
      </c>
      <c r="AI287" s="20">
        <f>IF($D$2="JA",Dashboard!$K$26-$AH$11+AH287,Dashboard!$K$26)</f>
        <v>2.3800000000000002E-2</v>
      </c>
      <c r="AJ287" s="27">
        <f>Tabel2[[#This Row],[Schuldrest]]*AI287/12</f>
        <v>119.97106241784904</v>
      </c>
      <c r="AK287" s="20">
        <f>IF($D$2="JA",Dashboard!$K$27-$AH$11+AH287,Dashboard!$K$27)</f>
        <v>2.3800000000000002E-2</v>
      </c>
      <c r="AL287" s="27">
        <f t="shared" si="72"/>
        <v>0</v>
      </c>
      <c r="AM287" s="20">
        <f>IF($D$2="JA",Dashboard!$K$28-$AH$11+AH287,Dashboard!$K$28)</f>
        <v>2.3800000000000002E-2</v>
      </c>
      <c r="AN287" s="27">
        <f t="shared" si="73"/>
        <v>0</v>
      </c>
      <c r="AO287" s="63">
        <f>Tabel2[[#This Row],[Aflossing]]+V287</f>
        <v>662.50594772470481</v>
      </c>
      <c r="AP287" s="63">
        <f t="shared" si="87"/>
        <v>119.97106241784904</v>
      </c>
      <c r="AQ287" s="2">
        <f t="shared" si="74"/>
        <v>138.25688602789026</v>
      </c>
      <c r="AU287" s="20"/>
      <c r="AV287" s="20"/>
    </row>
    <row r="288" spans="1:48">
      <c r="A288" s="71">
        <v>277</v>
      </c>
      <c r="B288" s="77">
        <f t="shared" si="75"/>
        <v>59827.10535539245</v>
      </c>
      <c r="C288" s="73">
        <f>B288/Dashboard!$I$25</f>
        <v>0.2393084214215698</v>
      </c>
      <c r="D288" s="74">
        <f t="shared" si="76"/>
        <v>0</v>
      </c>
      <c r="E288" s="73">
        <f>IF($D$2="JA",Dashboard!$K$26-$D$11+D288,Dashboard!$K$26)</f>
        <v>2.3800000000000002E-2</v>
      </c>
      <c r="F288" s="72">
        <f t="shared" si="77"/>
        <v>118.65709228819503</v>
      </c>
      <c r="G288" s="72">
        <f t="shared" si="88"/>
        <v>663.81991785435889</v>
      </c>
      <c r="H288" s="72">
        <f>IFERROR(-PMT(E288^1/12,Dashboard!$I$30-A288,B288),0)</f>
        <v>782.47701014255392</v>
      </c>
      <c r="I288" s="75">
        <f t="shared" si="78"/>
        <v>782.47701014255392</v>
      </c>
      <c r="J288" s="76">
        <f t="shared" si="89"/>
        <v>61235.239414147662</v>
      </c>
      <c r="K288" s="76">
        <f>J288*Dashboard!$K$26/12</f>
        <v>136.75870135826312</v>
      </c>
      <c r="L288" s="76">
        <f t="shared" si="79"/>
        <v>672.32714121909203</v>
      </c>
      <c r="M288" s="76">
        <f>IF(H288=0,0,IFERROR(-PMT(Dashboard!$K$26^1/12,Dashboard!$I$30,Dashboard!$I$26),0))</f>
        <v>809.08584257735515</v>
      </c>
      <c r="P288" s="59">
        <v>277</v>
      </c>
      <c r="Q288" s="28">
        <f t="shared" si="80"/>
        <v>0</v>
      </c>
      <c r="R288" s="20">
        <f>Q288/Dashboard!$I$25</f>
        <v>0</v>
      </c>
      <c r="S288" s="20">
        <f t="shared" si="81"/>
        <v>0</v>
      </c>
      <c r="T288" s="20">
        <f>IF($D$2="JA",Dashboard!$K$27-$S$11+S288,Dashboard!$K$27)</f>
        <v>2.6800000000000001E-2</v>
      </c>
      <c r="U288" s="27">
        <f t="shared" si="82"/>
        <v>0</v>
      </c>
      <c r="V288" s="26">
        <f>IF(Q288&lt;=1,0,Dashboard!$I$27/Dashboard!$I$30)</f>
        <v>0</v>
      </c>
      <c r="W288" s="28">
        <f>Q288*Dashboard!$K$27/12</f>
        <v>0</v>
      </c>
      <c r="Y288" s="59">
        <v>277</v>
      </c>
      <c r="Z288" s="67">
        <f>Dashboard!$I$28</f>
        <v>0</v>
      </c>
      <c r="AA288" s="64">
        <f>IF(Z288&lt;=1,0,Dashboard!$I$30-Y288)</f>
        <v>0</v>
      </c>
      <c r="AB288" s="64">
        <f t="shared" si="83"/>
        <v>0</v>
      </c>
      <c r="AC288" s="1">
        <f>Dashboard!$K$28</f>
        <v>2.6800000000000001E-2</v>
      </c>
      <c r="AD288" s="28">
        <f t="shared" si="84"/>
        <v>0</v>
      </c>
      <c r="AF288" s="2">
        <f t="shared" si="85"/>
        <v>59827.10535539245</v>
      </c>
      <c r="AG288" s="62">
        <f>(B288+Q288+Z288)/Dashboard!$I$25</f>
        <v>0.2393084214215698</v>
      </c>
      <c r="AH288" s="20">
        <f t="shared" si="86"/>
        <v>0</v>
      </c>
      <c r="AI288" s="20">
        <f>IF($D$2="JA",Dashboard!$K$26-$AH$11+AH288,Dashboard!$K$26)</f>
        <v>2.3800000000000002E-2</v>
      </c>
      <c r="AJ288" s="27">
        <f>Tabel2[[#This Row],[Schuldrest]]*AI288/12</f>
        <v>118.65709228819503</v>
      </c>
      <c r="AK288" s="20">
        <f>IF($D$2="JA",Dashboard!$K$27-$AH$11+AH288,Dashboard!$K$27)</f>
        <v>2.3800000000000002E-2</v>
      </c>
      <c r="AL288" s="27">
        <f t="shared" si="72"/>
        <v>0</v>
      </c>
      <c r="AM288" s="20">
        <f>IF($D$2="JA",Dashboard!$K$28-$AH$11+AH288,Dashboard!$K$28)</f>
        <v>2.3800000000000002E-2</v>
      </c>
      <c r="AN288" s="27">
        <f t="shared" si="73"/>
        <v>0</v>
      </c>
      <c r="AO288" s="63">
        <f>Tabel2[[#This Row],[Aflossing]]+V288</f>
        <v>663.81991785435889</v>
      </c>
      <c r="AP288" s="63">
        <f t="shared" si="87"/>
        <v>118.65709228819503</v>
      </c>
      <c r="AQ288" s="2">
        <f t="shared" si="74"/>
        <v>136.75870135826312</v>
      </c>
      <c r="AU288" s="20"/>
      <c r="AV288" s="20"/>
    </row>
    <row r="289" spans="1:48">
      <c r="A289" s="71">
        <v>278</v>
      </c>
      <c r="B289" s="77">
        <f t="shared" si="75"/>
        <v>59163.285437538092</v>
      </c>
      <c r="C289" s="73">
        <f>B289/Dashboard!$I$25</f>
        <v>0.23665314175015237</v>
      </c>
      <c r="D289" s="74">
        <f t="shared" si="76"/>
        <v>0</v>
      </c>
      <c r="E289" s="73">
        <f>IF($D$2="JA",Dashboard!$K$26-$D$11+D289,Dashboard!$K$26)</f>
        <v>2.3800000000000002E-2</v>
      </c>
      <c r="F289" s="72">
        <f t="shared" si="77"/>
        <v>117.34051611778388</v>
      </c>
      <c r="G289" s="72">
        <f t="shared" si="88"/>
        <v>665.13649402477006</v>
      </c>
      <c r="H289" s="72">
        <f>IFERROR(-PMT(E289^1/12,Dashboard!$I$30-A289,B289),0)</f>
        <v>782.47701014255392</v>
      </c>
      <c r="I289" s="75">
        <f t="shared" si="78"/>
        <v>782.47701014255392</v>
      </c>
      <c r="J289" s="76">
        <f t="shared" si="89"/>
        <v>60562.912272928566</v>
      </c>
      <c r="K289" s="76">
        <f>J289*Dashboard!$K$26/12</f>
        <v>135.2571707428738</v>
      </c>
      <c r="L289" s="76">
        <f t="shared" si="79"/>
        <v>673.82867183448138</v>
      </c>
      <c r="M289" s="76">
        <f>IF(H289=0,0,IFERROR(-PMT(Dashboard!$K$26^1/12,Dashboard!$I$30,Dashboard!$I$26),0))</f>
        <v>809.08584257735515</v>
      </c>
      <c r="P289" s="59">
        <v>278</v>
      </c>
      <c r="Q289" s="28">
        <f t="shared" si="80"/>
        <v>0</v>
      </c>
      <c r="R289" s="20">
        <f>Q289/Dashboard!$I$25</f>
        <v>0</v>
      </c>
      <c r="S289" s="20">
        <f t="shared" si="81"/>
        <v>0</v>
      </c>
      <c r="T289" s="20">
        <f>IF($D$2="JA",Dashboard!$K$27-$S$11+S289,Dashboard!$K$27)</f>
        <v>2.6800000000000001E-2</v>
      </c>
      <c r="U289" s="27">
        <f t="shared" si="82"/>
        <v>0</v>
      </c>
      <c r="V289" s="26">
        <f>IF(Q289&lt;=1,0,Dashboard!$I$27/Dashboard!$I$30)</f>
        <v>0</v>
      </c>
      <c r="W289" s="28">
        <f>Q289*Dashboard!$K$27/12</f>
        <v>0</v>
      </c>
      <c r="Y289" s="59">
        <v>278</v>
      </c>
      <c r="Z289" s="67">
        <f>Dashboard!$I$28</f>
        <v>0</v>
      </c>
      <c r="AA289" s="64">
        <f>IF(Z289&lt;=1,0,Dashboard!$I$30-Y289)</f>
        <v>0</v>
      </c>
      <c r="AB289" s="64">
        <f t="shared" si="83"/>
        <v>0</v>
      </c>
      <c r="AC289" s="1">
        <f>Dashboard!$K$28</f>
        <v>2.6800000000000001E-2</v>
      </c>
      <c r="AD289" s="28">
        <f t="shared" si="84"/>
        <v>0</v>
      </c>
      <c r="AF289" s="2">
        <f t="shared" si="85"/>
        <v>59163.285437538092</v>
      </c>
      <c r="AG289" s="62">
        <f>(B289+Q289+Z289)/Dashboard!$I$25</f>
        <v>0.23665314175015237</v>
      </c>
      <c r="AH289" s="20">
        <f t="shared" si="86"/>
        <v>0</v>
      </c>
      <c r="AI289" s="20">
        <f>IF($D$2="JA",Dashboard!$K$26-$AH$11+AH289,Dashboard!$K$26)</f>
        <v>2.3800000000000002E-2</v>
      </c>
      <c r="AJ289" s="27">
        <f>Tabel2[[#This Row],[Schuldrest]]*AI289/12</f>
        <v>117.34051611778388</v>
      </c>
      <c r="AK289" s="20">
        <f>IF($D$2="JA",Dashboard!$K$27-$AH$11+AH289,Dashboard!$K$27)</f>
        <v>2.3800000000000002E-2</v>
      </c>
      <c r="AL289" s="27">
        <f t="shared" si="72"/>
        <v>0</v>
      </c>
      <c r="AM289" s="20">
        <f>IF($D$2="JA",Dashboard!$K$28-$AH$11+AH289,Dashboard!$K$28)</f>
        <v>2.3800000000000002E-2</v>
      </c>
      <c r="AN289" s="27">
        <f t="shared" si="73"/>
        <v>0</v>
      </c>
      <c r="AO289" s="63">
        <f>Tabel2[[#This Row],[Aflossing]]+V289</f>
        <v>665.13649402477006</v>
      </c>
      <c r="AP289" s="63">
        <f t="shared" si="87"/>
        <v>117.34051611778388</v>
      </c>
      <c r="AQ289" s="2">
        <f t="shared" si="74"/>
        <v>135.2571707428738</v>
      </c>
      <c r="AU289" s="20"/>
      <c r="AV289" s="20"/>
    </row>
    <row r="290" spans="1:48">
      <c r="A290" s="71">
        <v>279</v>
      </c>
      <c r="B290" s="77">
        <f t="shared" si="75"/>
        <v>58498.148943513319</v>
      </c>
      <c r="C290" s="73">
        <f>B290/Dashboard!$I$25</f>
        <v>0.23399259577405326</v>
      </c>
      <c r="D290" s="74">
        <f t="shared" si="76"/>
        <v>0</v>
      </c>
      <c r="E290" s="73">
        <f>IF($D$2="JA",Dashboard!$K$26-$D$11+D290,Dashboard!$K$26)</f>
        <v>2.3800000000000002E-2</v>
      </c>
      <c r="F290" s="72">
        <f t="shared" si="77"/>
        <v>116.02132873796809</v>
      </c>
      <c r="G290" s="72">
        <f t="shared" si="88"/>
        <v>666.45568140458579</v>
      </c>
      <c r="H290" s="72">
        <f>IFERROR(-PMT(E290^1/12,Dashboard!$I$30-A290,B290),0)</f>
        <v>782.47701014255392</v>
      </c>
      <c r="I290" s="75">
        <f t="shared" si="78"/>
        <v>782.47701014255392</v>
      </c>
      <c r="J290" s="76">
        <f t="shared" si="89"/>
        <v>59889.083601094084</v>
      </c>
      <c r="K290" s="76">
        <f>J290*Dashboard!$K$26/12</f>
        <v>133.75228670911011</v>
      </c>
      <c r="L290" s="76">
        <f t="shared" si="79"/>
        <v>675.33355586824507</v>
      </c>
      <c r="M290" s="76">
        <f>IF(H290=0,0,IFERROR(-PMT(Dashboard!$K$26^1/12,Dashboard!$I$30,Dashboard!$I$26),0))</f>
        <v>809.08584257735515</v>
      </c>
      <c r="P290" s="59">
        <v>279</v>
      </c>
      <c r="Q290" s="28">
        <f t="shared" si="80"/>
        <v>0</v>
      </c>
      <c r="R290" s="20">
        <f>Q290/Dashboard!$I$25</f>
        <v>0</v>
      </c>
      <c r="S290" s="20">
        <f t="shared" si="81"/>
        <v>0</v>
      </c>
      <c r="T290" s="20">
        <f>IF($D$2="JA",Dashboard!$K$27-$S$11+S290,Dashboard!$K$27)</f>
        <v>2.6800000000000001E-2</v>
      </c>
      <c r="U290" s="27">
        <f t="shared" si="82"/>
        <v>0</v>
      </c>
      <c r="V290" s="26">
        <f>IF(Q290&lt;=1,0,Dashboard!$I$27/Dashboard!$I$30)</f>
        <v>0</v>
      </c>
      <c r="W290" s="28">
        <f>Q290*Dashboard!$K$27/12</f>
        <v>0</v>
      </c>
      <c r="Y290" s="59">
        <v>279</v>
      </c>
      <c r="Z290" s="67">
        <f>Dashboard!$I$28</f>
        <v>0</v>
      </c>
      <c r="AA290" s="64">
        <f>IF(Z290&lt;=1,0,Dashboard!$I$30-Y290)</f>
        <v>0</v>
      </c>
      <c r="AB290" s="64">
        <f t="shared" si="83"/>
        <v>0</v>
      </c>
      <c r="AC290" s="1">
        <f>Dashboard!$K$28</f>
        <v>2.6800000000000001E-2</v>
      </c>
      <c r="AD290" s="28">
        <f t="shared" si="84"/>
        <v>0</v>
      </c>
      <c r="AF290" s="2">
        <f t="shared" si="85"/>
        <v>58498.148943513319</v>
      </c>
      <c r="AG290" s="62">
        <f>(B290+Q290+Z290)/Dashboard!$I$25</f>
        <v>0.23399259577405326</v>
      </c>
      <c r="AH290" s="20">
        <f t="shared" si="86"/>
        <v>0</v>
      </c>
      <c r="AI290" s="20">
        <f>IF($D$2="JA",Dashboard!$K$26-$AH$11+AH290,Dashboard!$K$26)</f>
        <v>2.3800000000000002E-2</v>
      </c>
      <c r="AJ290" s="27">
        <f>Tabel2[[#This Row],[Schuldrest]]*AI290/12</f>
        <v>116.02132873796809</v>
      </c>
      <c r="AK290" s="20">
        <f>IF($D$2="JA",Dashboard!$K$27-$AH$11+AH290,Dashboard!$K$27)</f>
        <v>2.3800000000000002E-2</v>
      </c>
      <c r="AL290" s="27">
        <f t="shared" si="72"/>
        <v>0</v>
      </c>
      <c r="AM290" s="20">
        <f>IF($D$2="JA",Dashboard!$K$28-$AH$11+AH290,Dashboard!$K$28)</f>
        <v>2.3800000000000002E-2</v>
      </c>
      <c r="AN290" s="27">
        <f t="shared" si="73"/>
        <v>0</v>
      </c>
      <c r="AO290" s="63">
        <f>Tabel2[[#This Row],[Aflossing]]+V290</f>
        <v>666.45568140458579</v>
      </c>
      <c r="AP290" s="63">
        <f t="shared" si="87"/>
        <v>116.02132873796809</v>
      </c>
      <c r="AQ290" s="2">
        <f t="shared" si="74"/>
        <v>133.75228670911011</v>
      </c>
      <c r="AU290" s="20"/>
      <c r="AV290" s="20"/>
    </row>
    <row r="291" spans="1:48">
      <c r="A291" s="71">
        <v>280</v>
      </c>
      <c r="B291" s="77">
        <f t="shared" si="75"/>
        <v>57831.693262108733</v>
      </c>
      <c r="C291" s="73">
        <f>B291/Dashboard!$I$25</f>
        <v>0.23132677304843494</v>
      </c>
      <c r="D291" s="74">
        <f t="shared" si="76"/>
        <v>0</v>
      </c>
      <c r="E291" s="73">
        <f>IF($D$2="JA",Dashboard!$K$26-$D$11+D291,Dashboard!$K$26)</f>
        <v>2.3800000000000002E-2</v>
      </c>
      <c r="F291" s="72">
        <f t="shared" si="77"/>
        <v>114.69952496984899</v>
      </c>
      <c r="G291" s="72">
        <f t="shared" si="88"/>
        <v>667.7774851727047</v>
      </c>
      <c r="H291" s="72">
        <f>IFERROR(-PMT(E291^1/12,Dashboard!$I$30-A291,B291),0)</f>
        <v>782.4770101425537</v>
      </c>
      <c r="I291" s="75">
        <f t="shared" si="78"/>
        <v>782.4770101425537</v>
      </c>
      <c r="J291" s="76">
        <f t="shared" si="89"/>
        <v>59213.750045225839</v>
      </c>
      <c r="K291" s="76">
        <f>J291*Dashboard!$K$26/12</f>
        <v>132.24404176767106</v>
      </c>
      <c r="L291" s="76">
        <f t="shared" si="79"/>
        <v>676.84180080968406</v>
      </c>
      <c r="M291" s="76">
        <f>IF(H291=0,0,IFERROR(-PMT(Dashboard!$K$26^1/12,Dashboard!$I$30,Dashboard!$I$26),0))</f>
        <v>809.08584257735515</v>
      </c>
      <c r="P291" s="59">
        <v>280</v>
      </c>
      <c r="Q291" s="28">
        <f t="shared" si="80"/>
        <v>0</v>
      </c>
      <c r="R291" s="20">
        <f>Q291/Dashboard!$I$25</f>
        <v>0</v>
      </c>
      <c r="S291" s="20">
        <f t="shared" si="81"/>
        <v>0</v>
      </c>
      <c r="T291" s="20">
        <f>IF($D$2="JA",Dashboard!$K$27-$S$11+S291,Dashboard!$K$27)</f>
        <v>2.6800000000000001E-2</v>
      </c>
      <c r="U291" s="27">
        <f t="shared" si="82"/>
        <v>0</v>
      </c>
      <c r="V291" s="26">
        <f>IF(Q291&lt;=1,0,Dashboard!$I$27/Dashboard!$I$30)</f>
        <v>0</v>
      </c>
      <c r="W291" s="28">
        <f>Q291*Dashboard!$K$27/12</f>
        <v>0</v>
      </c>
      <c r="Y291" s="59">
        <v>280</v>
      </c>
      <c r="Z291" s="67">
        <f>Dashboard!$I$28</f>
        <v>0</v>
      </c>
      <c r="AA291" s="64">
        <f>IF(Z291&lt;=1,0,Dashboard!$I$30-Y291)</f>
        <v>0</v>
      </c>
      <c r="AB291" s="64">
        <f t="shared" si="83"/>
        <v>0</v>
      </c>
      <c r="AC291" s="1">
        <f>Dashboard!$K$28</f>
        <v>2.6800000000000001E-2</v>
      </c>
      <c r="AD291" s="28">
        <f t="shared" si="84"/>
        <v>0</v>
      </c>
      <c r="AF291" s="2">
        <f t="shared" si="85"/>
        <v>57831.693262108733</v>
      </c>
      <c r="AG291" s="62">
        <f>(B291+Q291+Z291)/Dashboard!$I$25</f>
        <v>0.23132677304843494</v>
      </c>
      <c r="AH291" s="20">
        <f t="shared" si="86"/>
        <v>0</v>
      </c>
      <c r="AI291" s="20">
        <f>IF($D$2="JA",Dashboard!$K$26-$AH$11+AH291,Dashboard!$K$26)</f>
        <v>2.3800000000000002E-2</v>
      </c>
      <c r="AJ291" s="27">
        <f>Tabel2[[#This Row],[Schuldrest]]*AI291/12</f>
        <v>114.69952496984899</v>
      </c>
      <c r="AK291" s="20">
        <f>IF($D$2="JA",Dashboard!$K$27-$AH$11+AH291,Dashboard!$K$27)</f>
        <v>2.3800000000000002E-2</v>
      </c>
      <c r="AL291" s="27">
        <f t="shared" si="72"/>
        <v>0</v>
      </c>
      <c r="AM291" s="20">
        <f>IF($D$2="JA",Dashboard!$K$28-$AH$11+AH291,Dashboard!$K$28)</f>
        <v>2.3800000000000002E-2</v>
      </c>
      <c r="AN291" s="27">
        <f t="shared" si="73"/>
        <v>0</v>
      </c>
      <c r="AO291" s="63">
        <f>Tabel2[[#This Row],[Aflossing]]+V291</f>
        <v>667.7774851727047</v>
      </c>
      <c r="AP291" s="63">
        <f t="shared" si="87"/>
        <v>114.69952496984899</v>
      </c>
      <c r="AQ291" s="2">
        <f t="shared" si="74"/>
        <v>132.24404176767106</v>
      </c>
      <c r="AU291" s="20"/>
      <c r="AV291" s="20"/>
    </row>
    <row r="292" spans="1:48">
      <c r="A292" s="71">
        <v>281</v>
      </c>
      <c r="B292" s="77">
        <f t="shared" si="75"/>
        <v>57163.915776936024</v>
      </c>
      <c r="C292" s="73">
        <f>B292/Dashboard!$I$25</f>
        <v>0.2286556631077441</v>
      </c>
      <c r="D292" s="74">
        <f t="shared" si="76"/>
        <v>0</v>
      </c>
      <c r="E292" s="73">
        <f>IF($D$2="JA",Dashboard!$K$26-$D$11+D292,Dashboard!$K$26)</f>
        <v>2.3800000000000002E-2</v>
      </c>
      <c r="F292" s="72">
        <f t="shared" si="77"/>
        <v>113.37509962425645</v>
      </c>
      <c r="G292" s="72">
        <f t="shared" si="88"/>
        <v>669.10191051829747</v>
      </c>
      <c r="H292" s="72">
        <f>IFERROR(-PMT(E292^1/12,Dashboard!$I$30-A292,B292),0)</f>
        <v>782.47701014255392</v>
      </c>
      <c r="I292" s="75">
        <f t="shared" si="78"/>
        <v>782.47701014255392</v>
      </c>
      <c r="J292" s="76">
        <f t="shared" si="89"/>
        <v>58536.908244416154</v>
      </c>
      <c r="K292" s="76">
        <f>J292*Dashboard!$K$26/12</f>
        <v>130.7324284125294</v>
      </c>
      <c r="L292" s="76">
        <f t="shared" si="79"/>
        <v>678.35341416482572</v>
      </c>
      <c r="M292" s="76">
        <f>IF(H292=0,0,IFERROR(-PMT(Dashboard!$K$26^1/12,Dashboard!$I$30,Dashboard!$I$26),0))</f>
        <v>809.08584257735515</v>
      </c>
      <c r="P292" s="59">
        <v>281</v>
      </c>
      <c r="Q292" s="28">
        <f t="shared" si="80"/>
        <v>0</v>
      </c>
      <c r="R292" s="20">
        <f>Q292/Dashboard!$I$25</f>
        <v>0</v>
      </c>
      <c r="S292" s="20">
        <f t="shared" si="81"/>
        <v>0</v>
      </c>
      <c r="T292" s="20">
        <f>IF($D$2="JA",Dashboard!$K$27-$S$11+S292,Dashboard!$K$27)</f>
        <v>2.6800000000000001E-2</v>
      </c>
      <c r="U292" s="27">
        <f t="shared" si="82"/>
        <v>0</v>
      </c>
      <c r="V292" s="26">
        <f>IF(Q292&lt;=1,0,Dashboard!$I$27/Dashboard!$I$30)</f>
        <v>0</v>
      </c>
      <c r="W292" s="28">
        <f>Q292*Dashboard!$K$27/12</f>
        <v>0</v>
      </c>
      <c r="Y292" s="59">
        <v>281</v>
      </c>
      <c r="Z292" s="67">
        <f>Dashboard!$I$28</f>
        <v>0</v>
      </c>
      <c r="AA292" s="64">
        <f>IF(Z292&lt;=1,0,Dashboard!$I$30-Y292)</f>
        <v>0</v>
      </c>
      <c r="AB292" s="64">
        <f t="shared" si="83"/>
        <v>0</v>
      </c>
      <c r="AC292" s="1">
        <f>Dashboard!$K$28</f>
        <v>2.6800000000000001E-2</v>
      </c>
      <c r="AD292" s="28">
        <f t="shared" si="84"/>
        <v>0</v>
      </c>
      <c r="AF292" s="2">
        <f t="shared" si="85"/>
        <v>57163.915776936024</v>
      </c>
      <c r="AG292" s="62">
        <f>(B292+Q292+Z292)/Dashboard!$I$25</f>
        <v>0.2286556631077441</v>
      </c>
      <c r="AH292" s="20">
        <f t="shared" si="86"/>
        <v>0</v>
      </c>
      <c r="AI292" s="20">
        <f>IF($D$2="JA",Dashboard!$K$26-$AH$11+AH292,Dashboard!$K$26)</f>
        <v>2.3800000000000002E-2</v>
      </c>
      <c r="AJ292" s="27">
        <f>Tabel2[[#This Row],[Schuldrest]]*AI292/12</f>
        <v>113.37509962425645</v>
      </c>
      <c r="AK292" s="20">
        <f>IF($D$2="JA",Dashboard!$K$27-$AH$11+AH292,Dashboard!$K$27)</f>
        <v>2.3800000000000002E-2</v>
      </c>
      <c r="AL292" s="27">
        <f t="shared" si="72"/>
        <v>0</v>
      </c>
      <c r="AM292" s="20">
        <f>IF($D$2="JA",Dashboard!$K$28-$AH$11+AH292,Dashboard!$K$28)</f>
        <v>2.3800000000000002E-2</v>
      </c>
      <c r="AN292" s="27">
        <f t="shared" si="73"/>
        <v>0</v>
      </c>
      <c r="AO292" s="63">
        <f>Tabel2[[#This Row],[Aflossing]]+V292</f>
        <v>669.10191051829747</v>
      </c>
      <c r="AP292" s="63">
        <f t="shared" si="87"/>
        <v>113.37509962425645</v>
      </c>
      <c r="AQ292" s="2">
        <f t="shared" si="74"/>
        <v>130.7324284125294</v>
      </c>
      <c r="AU292" s="20"/>
      <c r="AV292" s="20"/>
    </row>
    <row r="293" spans="1:48">
      <c r="A293" s="71">
        <v>282</v>
      </c>
      <c r="B293" s="77">
        <f t="shared" si="75"/>
        <v>56494.813866417724</v>
      </c>
      <c r="C293" s="73">
        <f>B293/Dashboard!$I$25</f>
        <v>0.22597925546567091</v>
      </c>
      <c r="D293" s="74">
        <f t="shared" si="76"/>
        <v>0</v>
      </c>
      <c r="E293" s="73">
        <f>IF($D$2="JA",Dashboard!$K$26-$D$11+D293,Dashboard!$K$26)</f>
        <v>2.3800000000000002E-2</v>
      </c>
      <c r="F293" s="72">
        <f t="shared" si="77"/>
        <v>112.04804750172849</v>
      </c>
      <c r="G293" s="72">
        <f t="shared" si="88"/>
        <v>670.42896264082538</v>
      </c>
      <c r="H293" s="72">
        <f>IFERROR(-PMT(E293^1/12,Dashboard!$I$30-A293,B293),0)</f>
        <v>782.47701014255381</v>
      </c>
      <c r="I293" s="75">
        <f t="shared" si="78"/>
        <v>782.47701014255381</v>
      </c>
      <c r="J293" s="76">
        <f t="shared" si="89"/>
        <v>57858.554830251327</v>
      </c>
      <c r="K293" s="76">
        <f>J293*Dashboard!$K$26/12</f>
        <v>129.21743912089462</v>
      </c>
      <c r="L293" s="76">
        <f t="shared" si="79"/>
        <v>679.86840345646056</v>
      </c>
      <c r="M293" s="76">
        <f>IF(H293=0,0,IFERROR(-PMT(Dashboard!$K$26^1/12,Dashboard!$I$30,Dashboard!$I$26),0))</f>
        <v>809.08584257735515</v>
      </c>
      <c r="P293" s="59">
        <v>282</v>
      </c>
      <c r="Q293" s="28">
        <f t="shared" si="80"/>
        <v>0</v>
      </c>
      <c r="R293" s="20">
        <f>Q293/Dashboard!$I$25</f>
        <v>0</v>
      </c>
      <c r="S293" s="20">
        <f t="shared" si="81"/>
        <v>0</v>
      </c>
      <c r="T293" s="20">
        <f>IF($D$2="JA",Dashboard!$K$27-$S$11+S293,Dashboard!$K$27)</f>
        <v>2.6800000000000001E-2</v>
      </c>
      <c r="U293" s="27">
        <f t="shared" si="82"/>
        <v>0</v>
      </c>
      <c r="V293" s="26">
        <f>IF(Q293&lt;=1,0,Dashboard!$I$27/Dashboard!$I$30)</f>
        <v>0</v>
      </c>
      <c r="W293" s="28">
        <f>Q293*Dashboard!$K$27/12</f>
        <v>0</v>
      </c>
      <c r="Y293" s="59">
        <v>282</v>
      </c>
      <c r="Z293" s="67">
        <f>Dashboard!$I$28</f>
        <v>0</v>
      </c>
      <c r="AA293" s="64">
        <f>IF(Z293&lt;=1,0,Dashboard!$I$30-Y293)</f>
        <v>0</v>
      </c>
      <c r="AB293" s="64">
        <f t="shared" si="83"/>
        <v>0</v>
      </c>
      <c r="AC293" s="1">
        <f>Dashboard!$K$28</f>
        <v>2.6800000000000001E-2</v>
      </c>
      <c r="AD293" s="28">
        <f t="shared" si="84"/>
        <v>0</v>
      </c>
      <c r="AF293" s="2">
        <f t="shared" si="85"/>
        <v>56494.813866417724</v>
      </c>
      <c r="AG293" s="62">
        <f>(B293+Q293+Z293)/Dashboard!$I$25</f>
        <v>0.22597925546567091</v>
      </c>
      <c r="AH293" s="20">
        <f t="shared" si="86"/>
        <v>0</v>
      </c>
      <c r="AI293" s="20">
        <f>IF($D$2="JA",Dashboard!$K$26-$AH$11+AH293,Dashboard!$K$26)</f>
        <v>2.3800000000000002E-2</v>
      </c>
      <c r="AJ293" s="27">
        <f>Tabel2[[#This Row],[Schuldrest]]*AI293/12</f>
        <v>112.04804750172849</v>
      </c>
      <c r="AK293" s="20">
        <f>IF($D$2="JA",Dashboard!$K$27-$AH$11+AH293,Dashboard!$K$27)</f>
        <v>2.3800000000000002E-2</v>
      </c>
      <c r="AL293" s="27">
        <f t="shared" si="72"/>
        <v>0</v>
      </c>
      <c r="AM293" s="20">
        <f>IF($D$2="JA",Dashboard!$K$28-$AH$11+AH293,Dashboard!$K$28)</f>
        <v>2.3800000000000002E-2</v>
      </c>
      <c r="AN293" s="27">
        <f t="shared" si="73"/>
        <v>0</v>
      </c>
      <c r="AO293" s="63">
        <f>Tabel2[[#This Row],[Aflossing]]+V293</f>
        <v>670.42896264082538</v>
      </c>
      <c r="AP293" s="63">
        <f t="shared" si="87"/>
        <v>112.04804750172849</v>
      </c>
      <c r="AQ293" s="2">
        <f t="shared" si="74"/>
        <v>129.21743912089462</v>
      </c>
      <c r="AU293" s="20"/>
      <c r="AV293" s="20"/>
    </row>
    <row r="294" spans="1:48">
      <c r="A294" s="71">
        <v>283</v>
      </c>
      <c r="B294" s="77">
        <f t="shared" si="75"/>
        <v>55824.384903776896</v>
      </c>
      <c r="C294" s="73">
        <f>B294/Dashboard!$I$25</f>
        <v>0.22329753961510759</v>
      </c>
      <c r="D294" s="74">
        <f t="shared" si="76"/>
        <v>0</v>
      </c>
      <c r="E294" s="73">
        <f>IF($D$2="JA",Dashboard!$K$26-$D$11+D294,Dashboard!$K$26)</f>
        <v>2.3800000000000002E-2</v>
      </c>
      <c r="F294" s="72">
        <f t="shared" si="77"/>
        <v>110.71836339249086</v>
      </c>
      <c r="G294" s="72">
        <f t="shared" si="88"/>
        <v>671.75864675006278</v>
      </c>
      <c r="H294" s="72">
        <f>IFERROR(-PMT(E294^1/12,Dashboard!$I$30-A294,B294),0)</f>
        <v>782.4770101425537</v>
      </c>
      <c r="I294" s="75">
        <f t="shared" si="78"/>
        <v>782.4770101425537</v>
      </c>
      <c r="J294" s="76">
        <f t="shared" si="89"/>
        <v>57178.686426794869</v>
      </c>
      <c r="K294" s="76">
        <f>J294*Dashboard!$K$26/12</f>
        <v>127.69906635317521</v>
      </c>
      <c r="L294" s="76">
        <f t="shared" si="79"/>
        <v>681.38677622417993</v>
      </c>
      <c r="M294" s="76">
        <f>IF(H294=0,0,IFERROR(-PMT(Dashboard!$K$26^1/12,Dashboard!$I$30,Dashboard!$I$26),0))</f>
        <v>809.08584257735515</v>
      </c>
      <c r="P294" s="59">
        <v>283</v>
      </c>
      <c r="Q294" s="28">
        <f t="shared" si="80"/>
        <v>0</v>
      </c>
      <c r="R294" s="20">
        <f>Q294/Dashboard!$I$25</f>
        <v>0</v>
      </c>
      <c r="S294" s="20">
        <f t="shared" si="81"/>
        <v>0</v>
      </c>
      <c r="T294" s="20">
        <f>IF($D$2="JA",Dashboard!$K$27-$S$11+S294,Dashboard!$K$27)</f>
        <v>2.6800000000000001E-2</v>
      </c>
      <c r="U294" s="27">
        <f t="shared" si="82"/>
        <v>0</v>
      </c>
      <c r="V294" s="26">
        <f>IF(Q294&lt;=1,0,Dashboard!$I$27/Dashboard!$I$30)</f>
        <v>0</v>
      </c>
      <c r="W294" s="28">
        <f>Q294*Dashboard!$K$27/12</f>
        <v>0</v>
      </c>
      <c r="Y294" s="59">
        <v>283</v>
      </c>
      <c r="Z294" s="67">
        <f>Dashboard!$I$28</f>
        <v>0</v>
      </c>
      <c r="AA294" s="64">
        <f>IF(Z294&lt;=1,0,Dashboard!$I$30-Y294)</f>
        <v>0</v>
      </c>
      <c r="AB294" s="64">
        <f t="shared" si="83"/>
        <v>0</v>
      </c>
      <c r="AC294" s="1">
        <f>Dashboard!$K$28</f>
        <v>2.6800000000000001E-2</v>
      </c>
      <c r="AD294" s="28">
        <f t="shared" si="84"/>
        <v>0</v>
      </c>
      <c r="AF294" s="2">
        <f t="shared" si="85"/>
        <v>55824.384903776896</v>
      </c>
      <c r="AG294" s="62">
        <f>(B294+Q294+Z294)/Dashboard!$I$25</f>
        <v>0.22329753961510759</v>
      </c>
      <c r="AH294" s="20">
        <f t="shared" si="86"/>
        <v>0</v>
      </c>
      <c r="AI294" s="20">
        <f>IF($D$2="JA",Dashboard!$K$26-$AH$11+AH294,Dashboard!$K$26)</f>
        <v>2.3800000000000002E-2</v>
      </c>
      <c r="AJ294" s="27">
        <f>Tabel2[[#This Row],[Schuldrest]]*AI294/12</f>
        <v>110.71836339249086</v>
      </c>
      <c r="AK294" s="20">
        <f>IF($D$2="JA",Dashboard!$K$27-$AH$11+AH294,Dashboard!$K$27)</f>
        <v>2.3800000000000002E-2</v>
      </c>
      <c r="AL294" s="27">
        <f t="shared" si="72"/>
        <v>0</v>
      </c>
      <c r="AM294" s="20">
        <f>IF($D$2="JA",Dashboard!$K$28-$AH$11+AH294,Dashboard!$K$28)</f>
        <v>2.3800000000000002E-2</v>
      </c>
      <c r="AN294" s="27">
        <f t="shared" si="73"/>
        <v>0</v>
      </c>
      <c r="AO294" s="63">
        <f>Tabel2[[#This Row],[Aflossing]]+V294</f>
        <v>671.75864675006278</v>
      </c>
      <c r="AP294" s="63">
        <f t="shared" si="87"/>
        <v>110.71836339249086</v>
      </c>
      <c r="AQ294" s="2">
        <f t="shared" si="74"/>
        <v>127.69906635317521</v>
      </c>
      <c r="AU294" s="20"/>
      <c r="AV294" s="20"/>
    </row>
    <row r="295" spans="1:48">
      <c r="A295" s="71">
        <v>284</v>
      </c>
      <c r="B295" s="77">
        <f t="shared" si="75"/>
        <v>55152.62625702683</v>
      </c>
      <c r="C295" s="73">
        <f>B295/Dashboard!$I$25</f>
        <v>0.22061050502810731</v>
      </c>
      <c r="D295" s="74">
        <f t="shared" si="76"/>
        <v>0</v>
      </c>
      <c r="E295" s="73">
        <f>IF($D$2="JA",Dashboard!$K$26-$D$11+D295,Dashboard!$K$26)</f>
        <v>2.3800000000000002E-2</v>
      </c>
      <c r="F295" s="72">
        <f t="shared" si="77"/>
        <v>109.38604207643657</v>
      </c>
      <c r="G295" s="72">
        <f t="shared" si="88"/>
        <v>673.09096806611717</v>
      </c>
      <c r="H295" s="72">
        <f>IFERROR(-PMT(E295^1/12,Dashboard!$I$30-A295,B295),0)</f>
        <v>782.4770101425537</v>
      </c>
      <c r="I295" s="75">
        <f t="shared" si="78"/>
        <v>782.4770101425537</v>
      </c>
      <c r="J295" s="76">
        <f t="shared" si="89"/>
        <v>56497.299650570691</v>
      </c>
      <c r="K295" s="76">
        <f>J295*Dashboard!$K$26/12</f>
        <v>126.17730255294121</v>
      </c>
      <c r="L295" s="76">
        <f t="shared" si="79"/>
        <v>682.90854002441392</v>
      </c>
      <c r="M295" s="76">
        <f>IF(H295=0,0,IFERROR(-PMT(Dashboard!$K$26^1/12,Dashboard!$I$30,Dashboard!$I$26),0))</f>
        <v>809.08584257735515</v>
      </c>
      <c r="P295" s="59">
        <v>284</v>
      </c>
      <c r="Q295" s="28">
        <f t="shared" si="80"/>
        <v>0</v>
      </c>
      <c r="R295" s="20">
        <f>Q295/Dashboard!$I$25</f>
        <v>0</v>
      </c>
      <c r="S295" s="20">
        <f t="shared" si="81"/>
        <v>0</v>
      </c>
      <c r="T295" s="20">
        <f>IF($D$2="JA",Dashboard!$K$27-$S$11+S295,Dashboard!$K$27)</f>
        <v>2.6800000000000001E-2</v>
      </c>
      <c r="U295" s="27">
        <f t="shared" si="82"/>
        <v>0</v>
      </c>
      <c r="V295" s="26">
        <f>IF(Q295&lt;=1,0,Dashboard!$I$27/Dashboard!$I$30)</f>
        <v>0</v>
      </c>
      <c r="W295" s="28">
        <f>Q295*Dashboard!$K$27/12</f>
        <v>0</v>
      </c>
      <c r="Y295" s="59">
        <v>284</v>
      </c>
      <c r="Z295" s="67">
        <f>Dashboard!$I$28</f>
        <v>0</v>
      </c>
      <c r="AA295" s="64">
        <f>IF(Z295&lt;=1,0,Dashboard!$I$30-Y295)</f>
        <v>0</v>
      </c>
      <c r="AB295" s="64">
        <f t="shared" si="83"/>
        <v>0</v>
      </c>
      <c r="AC295" s="1">
        <f>Dashboard!$K$28</f>
        <v>2.6800000000000001E-2</v>
      </c>
      <c r="AD295" s="28">
        <f t="shared" si="84"/>
        <v>0</v>
      </c>
      <c r="AF295" s="2">
        <f t="shared" si="85"/>
        <v>55152.62625702683</v>
      </c>
      <c r="AG295" s="62">
        <f>(B295+Q295+Z295)/Dashboard!$I$25</f>
        <v>0.22061050502810731</v>
      </c>
      <c r="AH295" s="20">
        <f t="shared" si="86"/>
        <v>0</v>
      </c>
      <c r="AI295" s="20">
        <f>IF($D$2="JA",Dashboard!$K$26-$AH$11+AH295,Dashboard!$K$26)</f>
        <v>2.3800000000000002E-2</v>
      </c>
      <c r="AJ295" s="27">
        <f>Tabel2[[#This Row],[Schuldrest]]*AI295/12</f>
        <v>109.38604207643657</v>
      </c>
      <c r="AK295" s="20">
        <f>IF($D$2="JA",Dashboard!$K$27-$AH$11+AH295,Dashboard!$K$27)</f>
        <v>2.3800000000000002E-2</v>
      </c>
      <c r="AL295" s="27">
        <f t="shared" si="72"/>
        <v>0</v>
      </c>
      <c r="AM295" s="20">
        <f>IF($D$2="JA",Dashboard!$K$28-$AH$11+AH295,Dashboard!$K$28)</f>
        <v>2.3800000000000002E-2</v>
      </c>
      <c r="AN295" s="27">
        <f t="shared" si="73"/>
        <v>0</v>
      </c>
      <c r="AO295" s="63">
        <f>Tabel2[[#This Row],[Aflossing]]+V295</f>
        <v>673.09096806611717</v>
      </c>
      <c r="AP295" s="63">
        <f t="shared" si="87"/>
        <v>109.38604207643657</v>
      </c>
      <c r="AQ295" s="2">
        <f t="shared" si="74"/>
        <v>126.17730255294121</v>
      </c>
      <c r="AU295" s="20"/>
      <c r="AV295" s="20"/>
    </row>
    <row r="296" spans="1:48">
      <c r="A296" s="71">
        <v>285</v>
      </c>
      <c r="B296" s="77">
        <f t="shared" si="75"/>
        <v>54479.535288960709</v>
      </c>
      <c r="C296" s="73">
        <f>B296/Dashboard!$I$25</f>
        <v>0.21791814115584285</v>
      </c>
      <c r="D296" s="74">
        <f t="shared" si="76"/>
        <v>0</v>
      </c>
      <c r="E296" s="73">
        <f>IF($D$2="JA",Dashboard!$K$26-$D$11+D296,Dashboard!$K$26)</f>
        <v>2.3800000000000002E-2</v>
      </c>
      <c r="F296" s="72">
        <f t="shared" si="77"/>
        <v>108.05107832310541</v>
      </c>
      <c r="G296" s="72">
        <f t="shared" si="88"/>
        <v>674.42593181944812</v>
      </c>
      <c r="H296" s="72">
        <f>IFERROR(-PMT(E296^1/12,Dashboard!$I$30-A296,B296),0)</f>
        <v>782.47701014255358</v>
      </c>
      <c r="I296" s="75">
        <f t="shared" si="78"/>
        <v>782.47701014255358</v>
      </c>
      <c r="J296" s="76">
        <f t="shared" si="89"/>
        <v>55814.391110546276</v>
      </c>
      <c r="K296" s="76">
        <f>J296*Dashboard!$K$26/12</f>
        <v>124.65214014688668</v>
      </c>
      <c r="L296" s="76">
        <f t="shared" si="79"/>
        <v>684.43370243046843</v>
      </c>
      <c r="M296" s="76">
        <f>IF(H296=0,0,IFERROR(-PMT(Dashboard!$K$26^1/12,Dashboard!$I$30,Dashboard!$I$26),0))</f>
        <v>809.08584257735515</v>
      </c>
      <c r="P296" s="59">
        <v>285</v>
      </c>
      <c r="Q296" s="28">
        <f t="shared" si="80"/>
        <v>0</v>
      </c>
      <c r="R296" s="20">
        <f>Q296/Dashboard!$I$25</f>
        <v>0</v>
      </c>
      <c r="S296" s="20">
        <f t="shared" si="81"/>
        <v>0</v>
      </c>
      <c r="T296" s="20">
        <f>IF($D$2="JA",Dashboard!$K$27-$S$11+S296,Dashboard!$K$27)</f>
        <v>2.6800000000000001E-2</v>
      </c>
      <c r="U296" s="27">
        <f t="shared" si="82"/>
        <v>0</v>
      </c>
      <c r="V296" s="26">
        <f>IF(Q296&lt;=1,0,Dashboard!$I$27/Dashboard!$I$30)</f>
        <v>0</v>
      </c>
      <c r="W296" s="28">
        <f>Q296*Dashboard!$K$27/12</f>
        <v>0</v>
      </c>
      <c r="Y296" s="59">
        <v>285</v>
      </c>
      <c r="Z296" s="67">
        <f>Dashboard!$I$28</f>
        <v>0</v>
      </c>
      <c r="AA296" s="64">
        <f>IF(Z296&lt;=1,0,Dashboard!$I$30-Y296)</f>
        <v>0</v>
      </c>
      <c r="AB296" s="64">
        <f t="shared" si="83"/>
        <v>0</v>
      </c>
      <c r="AC296" s="1">
        <f>Dashboard!$K$28</f>
        <v>2.6800000000000001E-2</v>
      </c>
      <c r="AD296" s="28">
        <f t="shared" si="84"/>
        <v>0</v>
      </c>
      <c r="AF296" s="2">
        <f t="shared" si="85"/>
        <v>54479.535288960709</v>
      </c>
      <c r="AG296" s="62">
        <f>(B296+Q296+Z296)/Dashboard!$I$25</f>
        <v>0.21791814115584285</v>
      </c>
      <c r="AH296" s="20">
        <f t="shared" si="86"/>
        <v>0</v>
      </c>
      <c r="AI296" s="20">
        <f>IF($D$2="JA",Dashboard!$K$26-$AH$11+AH296,Dashboard!$K$26)</f>
        <v>2.3800000000000002E-2</v>
      </c>
      <c r="AJ296" s="27">
        <f>Tabel2[[#This Row],[Schuldrest]]*AI296/12</f>
        <v>108.05107832310541</v>
      </c>
      <c r="AK296" s="20">
        <f>IF($D$2="JA",Dashboard!$K$27-$AH$11+AH296,Dashboard!$K$27)</f>
        <v>2.3800000000000002E-2</v>
      </c>
      <c r="AL296" s="27">
        <f t="shared" si="72"/>
        <v>0</v>
      </c>
      <c r="AM296" s="20">
        <f>IF($D$2="JA",Dashboard!$K$28-$AH$11+AH296,Dashboard!$K$28)</f>
        <v>2.3800000000000002E-2</v>
      </c>
      <c r="AN296" s="27">
        <f t="shared" si="73"/>
        <v>0</v>
      </c>
      <c r="AO296" s="63">
        <f>Tabel2[[#This Row],[Aflossing]]+V296</f>
        <v>674.42593181944812</v>
      </c>
      <c r="AP296" s="63">
        <f t="shared" si="87"/>
        <v>108.05107832310541</v>
      </c>
      <c r="AQ296" s="2">
        <f t="shared" si="74"/>
        <v>124.65214014688668</v>
      </c>
      <c r="AU296" s="20"/>
      <c r="AV296" s="20"/>
    </row>
    <row r="297" spans="1:48">
      <c r="A297" s="71">
        <v>286</v>
      </c>
      <c r="B297" s="77">
        <f t="shared" si="75"/>
        <v>53805.109357141264</v>
      </c>
      <c r="C297" s="73">
        <f>B297/Dashboard!$I$25</f>
        <v>0.21522043742856506</v>
      </c>
      <c r="D297" s="74">
        <f t="shared" si="76"/>
        <v>0</v>
      </c>
      <c r="E297" s="73">
        <f>IF($D$2="JA",Dashboard!$K$26-$D$11+D297,Dashboard!$K$26)</f>
        <v>2.3800000000000002E-2</v>
      </c>
      <c r="F297" s="72">
        <f t="shared" si="77"/>
        <v>106.71346689166351</v>
      </c>
      <c r="G297" s="72">
        <f t="shared" si="88"/>
        <v>675.76354325089017</v>
      </c>
      <c r="H297" s="72">
        <f>IFERROR(-PMT(E297^1/12,Dashboard!$I$30-A297,B297),0)</f>
        <v>782.4770101425537</v>
      </c>
      <c r="I297" s="75">
        <f t="shared" si="78"/>
        <v>782.4770101425537</v>
      </c>
      <c r="J297" s="76">
        <f t="shared" si="89"/>
        <v>55129.957408115806</v>
      </c>
      <c r="K297" s="76">
        <f>J297*Dashboard!$K$26/12</f>
        <v>123.12357154479197</v>
      </c>
      <c r="L297" s="76">
        <f t="shared" si="79"/>
        <v>685.96227103256319</v>
      </c>
      <c r="M297" s="76">
        <f>IF(H297=0,0,IFERROR(-PMT(Dashboard!$K$26^1/12,Dashboard!$I$30,Dashboard!$I$26),0))</f>
        <v>809.08584257735515</v>
      </c>
      <c r="P297" s="59">
        <v>286</v>
      </c>
      <c r="Q297" s="28">
        <f t="shared" si="80"/>
        <v>0</v>
      </c>
      <c r="R297" s="20">
        <f>Q297/Dashboard!$I$25</f>
        <v>0</v>
      </c>
      <c r="S297" s="20">
        <f t="shared" si="81"/>
        <v>0</v>
      </c>
      <c r="T297" s="20">
        <f>IF($D$2="JA",Dashboard!$K$27-$S$11+S297,Dashboard!$K$27)</f>
        <v>2.6800000000000001E-2</v>
      </c>
      <c r="U297" s="27">
        <f t="shared" si="82"/>
        <v>0</v>
      </c>
      <c r="V297" s="26">
        <f>IF(Q297&lt;=1,0,Dashboard!$I$27/Dashboard!$I$30)</f>
        <v>0</v>
      </c>
      <c r="W297" s="28">
        <f>Q297*Dashboard!$K$27/12</f>
        <v>0</v>
      </c>
      <c r="Y297" s="59">
        <v>286</v>
      </c>
      <c r="Z297" s="67">
        <f>Dashboard!$I$28</f>
        <v>0</v>
      </c>
      <c r="AA297" s="64">
        <f>IF(Z297&lt;=1,0,Dashboard!$I$30-Y297)</f>
        <v>0</v>
      </c>
      <c r="AB297" s="64">
        <f t="shared" si="83"/>
        <v>0</v>
      </c>
      <c r="AC297" s="1">
        <f>Dashboard!$K$28</f>
        <v>2.6800000000000001E-2</v>
      </c>
      <c r="AD297" s="28">
        <f t="shared" si="84"/>
        <v>0</v>
      </c>
      <c r="AF297" s="2">
        <f t="shared" si="85"/>
        <v>53805.109357141264</v>
      </c>
      <c r="AG297" s="62">
        <f>(B297+Q297+Z297)/Dashboard!$I$25</f>
        <v>0.21522043742856506</v>
      </c>
      <c r="AH297" s="20">
        <f t="shared" si="86"/>
        <v>0</v>
      </c>
      <c r="AI297" s="20">
        <f>IF($D$2="JA",Dashboard!$K$26-$AH$11+AH297,Dashboard!$K$26)</f>
        <v>2.3800000000000002E-2</v>
      </c>
      <c r="AJ297" s="27">
        <f>Tabel2[[#This Row],[Schuldrest]]*AI297/12</f>
        <v>106.71346689166351</v>
      </c>
      <c r="AK297" s="20">
        <f>IF($D$2="JA",Dashboard!$K$27-$AH$11+AH297,Dashboard!$K$27)</f>
        <v>2.3800000000000002E-2</v>
      </c>
      <c r="AL297" s="27">
        <f t="shared" si="72"/>
        <v>0</v>
      </c>
      <c r="AM297" s="20">
        <f>IF($D$2="JA",Dashboard!$K$28-$AH$11+AH297,Dashboard!$K$28)</f>
        <v>2.3800000000000002E-2</v>
      </c>
      <c r="AN297" s="27">
        <f t="shared" si="73"/>
        <v>0</v>
      </c>
      <c r="AO297" s="63">
        <f>Tabel2[[#This Row],[Aflossing]]+V297</f>
        <v>675.76354325089017</v>
      </c>
      <c r="AP297" s="63">
        <f t="shared" si="87"/>
        <v>106.71346689166351</v>
      </c>
      <c r="AQ297" s="2">
        <f t="shared" si="74"/>
        <v>123.12357154479197</v>
      </c>
      <c r="AU297" s="20"/>
      <c r="AV297" s="20"/>
    </row>
    <row r="298" spans="1:48">
      <c r="A298" s="71">
        <v>287</v>
      </c>
      <c r="B298" s="77">
        <f t="shared" si="75"/>
        <v>53129.345813890373</v>
      </c>
      <c r="C298" s="73">
        <f>B298/Dashboard!$I$25</f>
        <v>0.21251738325556149</v>
      </c>
      <c r="D298" s="74">
        <f t="shared" si="76"/>
        <v>0</v>
      </c>
      <c r="E298" s="73">
        <f>IF($D$2="JA",Dashboard!$K$26-$D$11+D298,Dashboard!$K$26)</f>
        <v>2.3800000000000002E-2</v>
      </c>
      <c r="F298" s="72">
        <f t="shared" si="77"/>
        <v>105.37320253088258</v>
      </c>
      <c r="G298" s="72">
        <f t="shared" si="88"/>
        <v>677.10380761167107</v>
      </c>
      <c r="H298" s="72">
        <f>IFERROR(-PMT(E298^1/12,Dashboard!$I$30-A298,B298),0)</f>
        <v>782.4770101425537</v>
      </c>
      <c r="I298" s="75">
        <f t="shared" si="78"/>
        <v>782.4770101425537</v>
      </c>
      <c r="J298" s="76">
        <f t="shared" si="89"/>
        <v>54443.995137083242</v>
      </c>
      <c r="K298" s="76">
        <f>J298*Dashboard!$K$26/12</f>
        <v>121.5915891394859</v>
      </c>
      <c r="L298" s="76">
        <f t="shared" si="79"/>
        <v>687.49425343786925</v>
      </c>
      <c r="M298" s="76">
        <f>IF(H298=0,0,IFERROR(-PMT(Dashboard!$K$26^1/12,Dashboard!$I$30,Dashboard!$I$26),0))</f>
        <v>809.08584257735515</v>
      </c>
      <c r="P298" s="59">
        <v>287</v>
      </c>
      <c r="Q298" s="28">
        <f t="shared" si="80"/>
        <v>0</v>
      </c>
      <c r="R298" s="20">
        <f>Q298/Dashboard!$I$25</f>
        <v>0</v>
      </c>
      <c r="S298" s="20">
        <f t="shared" si="81"/>
        <v>0</v>
      </c>
      <c r="T298" s="20">
        <f>IF($D$2="JA",Dashboard!$K$27-$S$11+S298,Dashboard!$K$27)</f>
        <v>2.6800000000000001E-2</v>
      </c>
      <c r="U298" s="27">
        <f t="shared" si="82"/>
        <v>0</v>
      </c>
      <c r="V298" s="26">
        <f>IF(Q298&lt;=1,0,Dashboard!$I$27/Dashboard!$I$30)</f>
        <v>0</v>
      </c>
      <c r="W298" s="28">
        <f>Q298*Dashboard!$K$27/12</f>
        <v>0</v>
      </c>
      <c r="Y298" s="59">
        <v>287</v>
      </c>
      <c r="Z298" s="67">
        <f>Dashboard!$I$28</f>
        <v>0</v>
      </c>
      <c r="AA298" s="64">
        <f>IF(Z298&lt;=1,0,Dashboard!$I$30-Y298)</f>
        <v>0</v>
      </c>
      <c r="AB298" s="64">
        <f t="shared" si="83"/>
        <v>0</v>
      </c>
      <c r="AC298" s="1">
        <f>Dashboard!$K$28</f>
        <v>2.6800000000000001E-2</v>
      </c>
      <c r="AD298" s="28">
        <f t="shared" si="84"/>
        <v>0</v>
      </c>
      <c r="AF298" s="2">
        <f t="shared" si="85"/>
        <v>53129.345813890373</v>
      </c>
      <c r="AG298" s="62">
        <f>(B298+Q298+Z298)/Dashboard!$I$25</f>
        <v>0.21251738325556149</v>
      </c>
      <c r="AH298" s="20">
        <f t="shared" si="86"/>
        <v>0</v>
      </c>
      <c r="AI298" s="20">
        <f>IF($D$2="JA",Dashboard!$K$26-$AH$11+AH298,Dashboard!$K$26)</f>
        <v>2.3800000000000002E-2</v>
      </c>
      <c r="AJ298" s="27">
        <f>Tabel2[[#This Row],[Schuldrest]]*AI298/12</f>
        <v>105.37320253088258</v>
      </c>
      <c r="AK298" s="20">
        <f>IF($D$2="JA",Dashboard!$K$27-$AH$11+AH298,Dashboard!$K$27)</f>
        <v>2.3800000000000002E-2</v>
      </c>
      <c r="AL298" s="27">
        <f t="shared" si="72"/>
        <v>0</v>
      </c>
      <c r="AM298" s="20">
        <f>IF($D$2="JA",Dashboard!$K$28-$AH$11+AH298,Dashboard!$K$28)</f>
        <v>2.3800000000000002E-2</v>
      </c>
      <c r="AN298" s="27">
        <f t="shared" si="73"/>
        <v>0</v>
      </c>
      <c r="AO298" s="63">
        <f>Tabel2[[#This Row],[Aflossing]]+V298</f>
        <v>677.10380761167107</v>
      </c>
      <c r="AP298" s="63">
        <f t="shared" si="87"/>
        <v>105.37320253088258</v>
      </c>
      <c r="AQ298" s="2">
        <f t="shared" si="74"/>
        <v>121.5915891394859</v>
      </c>
      <c r="AU298" s="20"/>
      <c r="AV298" s="20"/>
    </row>
    <row r="299" spans="1:48">
      <c r="A299" s="71">
        <v>288</v>
      </c>
      <c r="B299" s="77">
        <f t="shared" si="75"/>
        <v>52452.242006278699</v>
      </c>
      <c r="C299" s="73">
        <f>B299/Dashboard!$I$25</f>
        <v>0.20980896802511478</v>
      </c>
      <c r="D299" s="74">
        <f t="shared" si="76"/>
        <v>0</v>
      </c>
      <c r="E299" s="73">
        <f>IF($D$2="JA",Dashboard!$K$26-$D$11+D299,Dashboard!$K$26)</f>
        <v>2.3800000000000002E-2</v>
      </c>
      <c r="F299" s="72">
        <f t="shared" si="77"/>
        <v>104.03027997911943</v>
      </c>
      <c r="G299" s="72">
        <f t="shared" si="88"/>
        <v>678.44673016343427</v>
      </c>
      <c r="H299" s="72">
        <f>IFERROR(-PMT(E299^1/12,Dashboard!$I$30-A299,B299),0)</f>
        <v>782.4770101425537</v>
      </c>
      <c r="I299" s="75">
        <f t="shared" si="78"/>
        <v>782.4770101425537</v>
      </c>
      <c r="J299" s="76">
        <f t="shared" si="89"/>
        <v>53756.500883645371</v>
      </c>
      <c r="K299" s="76">
        <f>J299*Dashboard!$K$26/12</f>
        <v>120.056185306808</v>
      </c>
      <c r="L299" s="76">
        <f t="shared" si="79"/>
        <v>689.0296572705472</v>
      </c>
      <c r="M299" s="76">
        <f>IF(H299=0,0,IFERROR(-PMT(Dashboard!$K$26^1/12,Dashboard!$I$30,Dashboard!$I$26),0))</f>
        <v>809.08584257735515</v>
      </c>
      <c r="P299" s="59">
        <v>288</v>
      </c>
      <c r="Q299" s="28">
        <f t="shared" si="80"/>
        <v>0</v>
      </c>
      <c r="R299" s="20">
        <f>Q299/Dashboard!$I$25</f>
        <v>0</v>
      </c>
      <c r="S299" s="20">
        <f t="shared" si="81"/>
        <v>0</v>
      </c>
      <c r="T299" s="20">
        <f>IF($D$2="JA",Dashboard!$K$27-$S$11+S299,Dashboard!$K$27)</f>
        <v>2.6800000000000001E-2</v>
      </c>
      <c r="U299" s="27">
        <f t="shared" si="82"/>
        <v>0</v>
      </c>
      <c r="V299" s="26">
        <f>IF(Q299&lt;=1,0,Dashboard!$I$27/Dashboard!$I$30)</f>
        <v>0</v>
      </c>
      <c r="W299" s="28">
        <f>Q299*Dashboard!$K$27/12</f>
        <v>0</v>
      </c>
      <c r="Y299" s="59">
        <v>288</v>
      </c>
      <c r="Z299" s="67">
        <f>Dashboard!$I$28</f>
        <v>0</v>
      </c>
      <c r="AA299" s="64">
        <f>IF(Z299&lt;=1,0,Dashboard!$I$30-Y299)</f>
        <v>0</v>
      </c>
      <c r="AB299" s="64">
        <f t="shared" si="83"/>
        <v>0</v>
      </c>
      <c r="AC299" s="1">
        <f>Dashboard!$K$28</f>
        <v>2.6800000000000001E-2</v>
      </c>
      <c r="AD299" s="28">
        <f t="shared" si="84"/>
        <v>0</v>
      </c>
      <c r="AF299" s="2">
        <f t="shared" si="85"/>
        <v>52452.242006278699</v>
      </c>
      <c r="AG299" s="62">
        <f>(B299+Q299+Z299)/Dashboard!$I$25</f>
        <v>0.20980896802511478</v>
      </c>
      <c r="AH299" s="20">
        <f t="shared" si="86"/>
        <v>0</v>
      </c>
      <c r="AI299" s="20">
        <f>IF($D$2="JA",Dashboard!$K$26-$AH$11+AH299,Dashboard!$K$26)</f>
        <v>2.3800000000000002E-2</v>
      </c>
      <c r="AJ299" s="27">
        <f>Tabel2[[#This Row],[Schuldrest]]*AI299/12</f>
        <v>104.03027997911943</v>
      </c>
      <c r="AK299" s="20">
        <f>IF($D$2="JA",Dashboard!$K$27-$AH$11+AH299,Dashboard!$K$27)</f>
        <v>2.3800000000000002E-2</v>
      </c>
      <c r="AL299" s="27">
        <f t="shared" si="72"/>
        <v>0</v>
      </c>
      <c r="AM299" s="20">
        <f>IF($D$2="JA",Dashboard!$K$28-$AH$11+AH299,Dashboard!$K$28)</f>
        <v>2.3800000000000002E-2</v>
      </c>
      <c r="AN299" s="27">
        <f t="shared" si="73"/>
        <v>0</v>
      </c>
      <c r="AO299" s="63">
        <f>Tabel2[[#This Row],[Aflossing]]+V299</f>
        <v>678.44673016343427</v>
      </c>
      <c r="AP299" s="63">
        <f t="shared" si="87"/>
        <v>104.03027997911943</v>
      </c>
      <c r="AQ299" s="2">
        <f t="shared" si="74"/>
        <v>120.056185306808</v>
      </c>
      <c r="AU299" s="20"/>
      <c r="AV299" s="20"/>
    </row>
    <row r="300" spans="1:48">
      <c r="A300" s="71">
        <v>289</v>
      </c>
      <c r="B300" s="77">
        <f t="shared" si="75"/>
        <v>51773.795276115263</v>
      </c>
      <c r="C300" s="73">
        <f>B300/Dashboard!$I$25</f>
        <v>0.20709518110446104</v>
      </c>
      <c r="D300" s="74">
        <f t="shared" si="76"/>
        <v>0</v>
      </c>
      <c r="E300" s="73">
        <f>IF($D$2="JA",Dashboard!$K$26-$D$11+D300,Dashboard!$K$26)</f>
        <v>2.3800000000000002E-2</v>
      </c>
      <c r="F300" s="72">
        <f t="shared" si="77"/>
        <v>102.68469396429528</v>
      </c>
      <c r="G300" s="72">
        <f t="shared" si="88"/>
        <v>679.79231617825826</v>
      </c>
      <c r="H300" s="72">
        <f>IFERROR(-PMT(E300^1/12,Dashboard!$I$30-A300,B300),0)</f>
        <v>782.47701014255358</v>
      </c>
      <c r="I300" s="75">
        <f t="shared" si="78"/>
        <v>782.47701014255358</v>
      </c>
      <c r="J300" s="76">
        <f t="shared" si="89"/>
        <v>53067.471226374822</v>
      </c>
      <c r="K300" s="76">
        <f>J300*Dashboard!$K$26/12</f>
        <v>118.51735240557043</v>
      </c>
      <c r="L300" s="76">
        <f t="shared" si="79"/>
        <v>690.56849017178467</v>
      </c>
      <c r="M300" s="76">
        <f>IF(H300=0,0,IFERROR(-PMT(Dashboard!$K$26^1/12,Dashboard!$I$30,Dashboard!$I$26),0))</f>
        <v>809.08584257735515</v>
      </c>
      <c r="P300" s="59">
        <v>289</v>
      </c>
      <c r="Q300" s="28">
        <f t="shared" si="80"/>
        <v>0</v>
      </c>
      <c r="R300" s="20">
        <f>Q300/Dashboard!$I$25</f>
        <v>0</v>
      </c>
      <c r="S300" s="20">
        <f t="shared" si="81"/>
        <v>0</v>
      </c>
      <c r="T300" s="20">
        <f>IF($D$2="JA",Dashboard!$K$27-$S$11+S300,Dashboard!$K$27)</f>
        <v>2.6800000000000001E-2</v>
      </c>
      <c r="U300" s="27">
        <f t="shared" si="82"/>
        <v>0</v>
      </c>
      <c r="V300" s="26">
        <f>IF(Q300&lt;=1,0,Dashboard!$I$27/Dashboard!$I$30)</f>
        <v>0</v>
      </c>
      <c r="W300" s="28">
        <f>Q300*Dashboard!$K$27/12</f>
        <v>0</v>
      </c>
      <c r="Y300" s="59">
        <v>289</v>
      </c>
      <c r="Z300" s="67">
        <f>Dashboard!$I$28</f>
        <v>0</v>
      </c>
      <c r="AA300" s="64">
        <f>IF(Z300&lt;=1,0,Dashboard!$I$30-Y300)</f>
        <v>0</v>
      </c>
      <c r="AB300" s="64">
        <f t="shared" si="83"/>
        <v>0</v>
      </c>
      <c r="AC300" s="1">
        <f>Dashboard!$K$28</f>
        <v>2.6800000000000001E-2</v>
      </c>
      <c r="AD300" s="28">
        <f t="shared" si="84"/>
        <v>0</v>
      </c>
      <c r="AF300" s="2">
        <f t="shared" si="85"/>
        <v>51773.795276115263</v>
      </c>
      <c r="AG300" s="62">
        <f>(B300+Q300+Z300)/Dashboard!$I$25</f>
        <v>0.20709518110446104</v>
      </c>
      <c r="AH300" s="20">
        <f t="shared" si="86"/>
        <v>0</v>
      </c>
      <c r="AI300" s="20">
        <f>IF($D$2="JA",Dashboard!$K$26-$AH$11+AH300,Dashboard!$K$26)</f>
        <v>2.3800000000000002E-2</v>
      </c>
      <c r="AJ300" s="27">
        <f>Tabel2[[#This Row],[Schuldrest]]*AI300/12</f>
        <v>102.68469396429528</v>
      </c>
      <c r="AK300" s="20">
        <f>IF($D$2="JA",Dashboard!$K$27-$AH$11+AH300,Dashboard!$K$27)</f>
        <v>2.3800000000000002E-2</v>
      </c>
      <c r="AL300" s="27">
        <f t="shared" si="72"/>
        <v>0</v>
      </c>
      <c r="AM300" s="20">
        <f>IF($D$2="JA",Dashboard!$K$28-$AH$11+AH300,Dashboard!$K$28)</f>
        <v>2.3800000000000002E-2</v>
      </c>
      <c r="AN300" s="27">
        <f t="shared" si="73"/>
        <v>0</v>
      </c>
      <c r="AO300" s="63">
        <f>Tabel2[[#This Row],[Aflossing]]+V300</f>
        <v>679.79231617825826</v>
      </c>
      <c r="AP300" s="63">
        <f t="shared" si="87"/>
        <v>102.68469396429528</v>
      </c>
      <c r="AQ300" s="2">
        <f t="shared" si="74"/>
        <v>118.51735240557043</v>
      </c>
      <c r="AU300" s="20"/>
      <c r="AV300" s="20"/>
    </row>
    <row r="301" spans="1:48">
      <c r="A301" s="71">
        <v>290</v>
      </c>
      <c r="B301" s="77">
        <f t="shared" si="75"/>
        <v>51094.002959937003</v>
      </c>
      <c r="C301" s="73">
        <f>B301/Dashboard!$I$25</f>
        <v>0.20437601183974802</v>
      </c>
      <c r="D301" s="74">
        <f t="shared" si="76"/>
        <v>0</v>
      </c>
      <c r="E301" s="73">
        <f>IF($D$2="JA",Dashboard!$K$26-$D$11+D301,Dashboard!$K$26)</f>
        <v>2.3800000000000002E-2</v>
      </c>
      <c r="F301" s="72">
        <f t="shared" si="77"/>
        <v>101.33643920387506</v>
      </c>
      <c r="G301" s="72">
        <f t="shared" si="88"/>
        <v>681.14057093867848</v>
      </c>
      <c r="H301" s="72">
        <f>IFERROR(-PMT(E301^1/12,Dashboard!$I$30-A301,B301),0)</f>
        <v>782.47701014255358</v>
      </c>
      <c r="I301" s="75">
        <f t="shared" si="78"/>
        <v>782.47701014255358</v>
      </c>
      <c r="J301" s="76">
        <f t="shared" si="89"/>
        <v>52376.902736203039</v>
      </c>
      <c r="K301" s="76">
        <f>J301*Dashboard!$K$26/12</f>
        <v>116.97508277752013</v>
      </c>
      <c r="L301" s="76">
        <f t="shared" si="79"/>
        <v>692.11075979983502</v>
      </c>
      <c r="M301" s="76">
        <f>IF(H301=0,0,IFERROR(-PMT(Dashboard!$K$26^1/12,Dashboard!$I$30,Dashboard!$I$26),0))</f>
        <v>809.08584257735515</v>
      </c>
      <c r="P301" s="59">
        <v>290</v>
      </c>
      <c r="Q301" s="28">
        <f t="shared" si="80"/>
        <v>0</v>
      </c>
      <c r="R301" s="20">
        <f>Q301/Dashboard!$I$25</f>
        <v>0</v>
      </c>
      <c r="S301" s="20">
        <f t="shared" si="81"/>
        <v>0</v>
      </c>
      <c r="T301" s="20">
        <f>IF($D$2="JA",Dashboard!$K$27-$S$11+S301,Dashboard!$K$27)</f>
        <v>2.6800000000000001E-2</v>
      </c>
      <c r="U301" s="27">
        <f t="shared" si="82"/>
        <v>0</v>
      </c>
      <c r="V301" s="26">
        <f>IF(Q301&lt;=1,0,Dashboard!$I$27/Dashboard!$I$30)</f>
        <v>0</v>
      </c>
      <c r="W301" s="28">
        <f>Q301*Dashboard!$K$27/12</f>
        <v>0</v>
      </c>
      <c r="Y301" s="59">
        <v>290</v>
      </c>
      <c r="Z301" s="67">
        <f>Dashboard!$I$28</f>
        <v>0</v>
      </c>
      <c r="AA301" s="64">
        <f>IF(Z301&lt;=1,0,Dashboard!$I$30-Y301)</f>
        <v>0</v>
      </c>
      <c r="AB301" s="64">
        <f t="shared" si="83"/>
        <v>0</v>
      </c>
      <c r="AC301" s="1">
        <f>Dashboard!$K$28</f>
        <v>2.6800000000000001E-2</v>
      </c>
      <c r="AD301" s="28">
        <f t="shared" si="84"/>
        <v>0</v>
      </c>
      <c r="AF301" s="2">
        <f t="shared" si="85"/>
        <v>51094.002959937003</v>
      </c>
      <c r="AG301" s="62">
        <f>(B301+Q301+Z301)/Dashboard!$I$25</f>
        <v>0.20437601183974802</v>
      </c>
      <c r="AH301" s="20">
        <f t="shared" si="86"/>
        <v>0</v>
      </c>
      <c r="AI301" s="20">
        <f>IF($D$2="JA",Dashboard!$K$26-$AH$11+AH301,Dashboard!$K$26)</f>
        <v>2.3800000000000002E-2</v>
      </c>
      <c r="AJ301" s="27">
        <f>Tabel2[[#This Row],[Schuldrest]]*AI301/12</f>
        <v>101.33643920387506</v>
      </c>
      <c r="AK301" s="20">
        <f>IF($D$2="JA",Dashboard!$K$27-$AH$11+AH301,Dashboard!$K$27)</f>
        <v>2.3800000000000002E-2</v>
      </c>
      <c r="AL301" s="27">
        <f t="shared" si="72"/>
        <v>0</v>
      </c>
      <c r="AM301" s="20">
        <f>IF($D$2="JA",Dashboard!$K$28-$AH$11+AH301,Dashboard!$K$28)</f>
        <v>2.3800000000000002E-2</v>
      </c>
      <c r="AN301" s="27">
        <f t="shared" si="73"/>
        <v>0</v>
      </c>
      <c r="AO301" s="63">
        <f>Tabel2[[#This Row],[Aflossing]]+V301</f>
        <v>681.14057093867848</v>
      </c>
      <c r="AP301" s="63">
        <f t="shared" si="87"/>
        <v>101.33643920387506</v>
      </c>
      <c r="AQ301" s="2">
        <f t="shared" si="74"/>
        <v>116.97508277752013</v>
      </c>
      <c r="AU301" s="20"/>
      <c r="AV301" s="20"/>
    </row>
    <row r="302" spans="1:48">
      <c r="A302" s="71">
        <v>291</v>
      </c>
      <c r="B302" s="77">
        <f t="shared" si="75"/>
        <v>50412.862388998321</v>
      </c>
      <c r="C302" s="73">
        <f>B302/Dashboard!$I$25</f>
        <v>0.20165144955599329</v>
      </c>
      <c r="D302" s="74">
        <f t="shared" si="76"/>
        <v>0</v>
      </c>
      <c r="E302" s="73">
        <f>IF($D$2="JA",Dashboard!$K$26-$D$11+D302,Dashboard!$K$26)</f>
        <v>2.3800000000000002E-2</v>
      </c>
      <c r="F302" s="72">
        <f t="shared" si="77"/>
        <v>99.985510404846664</v>
      </c>
      <c r="G302" s="72">
        <f t="shared" si="88"/>
        <v>682.4914997377067</v>
      </c>
      <c r="H302" s="72">
        <f>IFERROR(-PMT(E302^1/12,Dashboard!$I$30-A302,B302),0)</f>
        <v>782.47701014255335</v>
      </c>
      <c r="I302" s="75">
        <f t="shared" si="78"/>
        <v>782.47701014255335</v>
      </c>
      <c r="J302" s="76">
        <f t="shared" si="89"/>
        <v>51684.791976403205</v>
      </c>
      <c r="K302" s="76">
        <f>J302*Dashboard!$K$26/12</f>
        <v>115.42936874730049</v>
      </c>
      <c r="L302" s="76">
        <f t="shared" si="79"/>
        <v>693.65647383005467</v>
      </c>
      <c r="M302" s="76">
        <f>IF(H302=0,0,IFERROR(-PMT(Dashboard!$K$26^1/12,Dashboard!$I$30,Dashboard!$I$26),0))</f>
        <v>809.08584257735515</v>
      </c>
      <c r="P302" s="59">
        <v>291</v>
      </c>
      <c r="Q302" s="28">
        <f t="shared" si="80"/>
        <v>0</v>
      </c>
      <c r="R302" s="20">
        <f>Q302/Dashboard!$I$25</f>
        <v>0</v>
      </c>
      <c r="S302" s="20">
        <f t="shared" si="81"/>
        <v>0</v>
      </c>
      <c r="T302" s="20">
        <f>IF($D$2="JA",Dashboard!$K$27-$S$11+S302,Dashboard!$K$27)</f>
        <v>2.6800000000000001E-2</v>
      </c>
      <c r="U302" s="27">
        <f t="shared" si="82"/>
        <v>0</v>
      </c>
      <c r="V302" s="26">
        <f>IF(Q302&lt;=1,0,Dashboard!$I$27/Dashboard!$I$30)</f>
        <v>0</v>
      </c>
      <c r="W302" s="28">
        <f>Q302*Dashboard!$K$27/12</f>
        <v>0</v>
      </c>
      <c r="Y302" s="59">
        <v>291</v>
      </c>
      <c r="Z302" s="67">
        <f>Dashboard!$I$28</f>
        <v>0</v>
      </c>
      <c r="AA302" s="64">
        <f>IF(Z302&lt;=1,0,Dashboard!$I$30-Y302)</f>
        <v>0</v>
      </c>
      <c r="AB302" s="64">
        <f t="shared" si="83"/>
        <v>0</v>
      </c>
      <c r="AC302" s="1">
        <f>Dashboard!$K$28</f>
        <v>2.6800000000000001E-2</v>
      </c>
      <c r="AD302" s="28">
        <f t="shared" si="84"/>
        <v>0</v>
      </c>
      <c r="AF302" s="2">
        <f t="shared" si="85"/>
        <v>50412.862388998321</v>
      </c>
      <c r="AG302" s="62">
        <f>(B302+Q302+Z302)/Dashboard!$I$25</f>
        <v>0.20165144955599329</v>
      </c>
      <c r="AH302" s="20">
        <f t="shared" si="86"/>
        <v>0</v>
      </c>
      <c r="AI302" s="20">
        <f>IF($D$2="JA",Dashboard!$K$26-$AH$11+AH302,Dashboard!$K$26)</f>
        <v>2.3800000000000002E-2</v>
      </c>
      <c r="AJ302" s="27">
        <f>Tabel2[[#This Row],[Schuldrest]]*AI302/12</f>
        <v>99.985510404846664</v>
      </c>
      <c r="AK302" s="20">
        <f>IF($D$2="JA",Dashboard!$K$27-$AH$11+AH302,Dashboard!$K$27)</f>
        <v>2.3800000000000002E-2</v>
      </c>
      <c r="AL302" s="27">
        <f t="shared" si="72"/>
        <v>0</v>
      </c>
      <c r="AM302" s="20">
        <f>IF($D$2="JA",Dashboard!$K$28-$AH$11+AH302,Dashboard!$K$28)</f>
        <v>2.3800000000000002E-2</v>
      </c>
      <c r="AN302" s="27">
        <f t="shared" si="73"/>
        <v>0</v>
      </c>
      <c r="AO302" s="63">
        <f>Tabel2[[#This Row],[Aflossing]]+V302</f>
        <v>682.4914997377067</v>
      </c>
      <c r="AP302" s="63">
        <f t="shared" si="87"/>
        <v>99.985510404846664</v>
      </c>
      <c r="AQ302" s="2">
        <f t="shared" si="74"/>
        <v>115.42936874730049</v>
      </c>
      <c r="AU302" s="20"/>
      <c r="AV302" s="20"/>
    </row>
    <row r="303" spans="1:48">
      <c r="A303" s="71">
        <v>292</v>
      </c>
      <c r="B303" s="77">
        <f t="shared" si="75"/>
        <v>49730.370889260616</v>
      </c>
      <c r="C303" s="73">
        <f>B303/Dashboard!$I$25</f>
        <v>0.19892148355704245</v>
      </c>
      <c r="D303" s="74">
        <f t="shared" si="76"/>
        <v>0</v>
      </c>
      <c r="E303" s="73">
        <f>IF($D$2="JA",Dashboard!$K$26-$D$11+D303,Dashboard!$K$26)</f>
        <v>2.3800000000000002E-2</v>
      </c>
      <c r="F303" s="72">
        <f t="shared" si="77"/>
        <v>98.631902263700226</v>
      </c>
      <c r="G303" s="72">
        <f t="shared" si="88"/>
        <v>683.84510787885336</v>
      </c>
      <c r="H303" s="72">
        <f>IFERROR(-PMT(E303^1/12,Dashboard!$I$30-A303,B303),0)</f>
        <v>782.47701014255358</v>
      </c>
      <c r="I303" s="75">
        <f t="shared" si="78"/>
        <v>782.47701014255358</v>
      </c>
      <c r="J303" s="76">
        <f t="shared" si="89"/>
        <v>50991.135502573154</v>
      </c>
      <c r="K303" s="76">
        <f>J303*Dashboard!$K$26/12</f>
        <v>113.88020262241338</v>
      </c>
      <c r="L303" s="76">
        <f t="shared" si="79"/>
        <v>695.20563995494172</v>
      </c>
      <c r="M303" s="76">
        <f>IF(H303=0,0,IFERROR(-PMT(Dashboard!$K$26^1/12,Dashboard!$I$30,Dashboard!$I$26),0))</f>
        <v>809.08584257735515</v>
      </c>
      <c r="P303" s="59">
        <v>292</v>
      </c>
      <c r="Q303" s="28">
        <f t="shared" si="80"/>
        <v>0</v>
      </c>
      <c r="R303" s="20">
        <f>Q303/Dashboard!$I$25</f>
        <v>0</v>
      </c>
      <c r="S303" s="20">
        <f t="shared" si="81"/>
        <v>0</v>
      </c>
      <c r="T303" s="20">
        <f>IF($D$2="JA",Dashboard!$K$27-$S$11+S303,Dashboard!$K$27)</f>
        <v>2.6800000000000001E-2</v>
      </c>
      <c r="U303" s="27">
        <f t="shared" si="82"/>
        <v>0</v>
      </c>
      <c r="V303" s="26">
        <f>IF(Q303&lt;=1,0,Dashboard!$I$27/Dashboard!$I$30)</f>
        <v>0</v>
      </c>
      <c r="W303" s="28">
        <f>Q303*Dashboard!$K$27/12</f>
        <v>0</v>
      </c>
      <c r="Y303" s="59">
        <v>292</v>
      </c>
      <c r="Z303" s="67">
        <f>Dashboard!$I$28</f>
        <v>0</v>
      </c>
      <c r="AA303" s="64">
        <f>IF(Z303&lt;=1,0,Dashboard!$I$30-Y303)</f>
        <v>0</v>
      </c>
      <c r="AB303" s="64">
        <f t="shared" si="83"/>
        <v>0</v>
      </c>
      <c r="AC303" s="1">
        <f>Dashboard!$K$28</f>
        <v>2.6800000000000001E-2</v>
      </c>
      <c r="AD303" s="28">
        <f t="shared" si="84"/>
        <v>0</v>
      </c>
      <c r="AF303" s="2">
        <f t="shared" si="85"/>
        <v>49730.370889260616</v>
      </c>
      <c r="AG303" s="62">
        <f>(B303+Q303+Z303)/Dashboard!$I$25</f>
        <v>0.19892148355704245</v>
      </c>
      <c r="AH303" s="20">
        <f t="shared" si="86"/>
        <v>0</v>
      </c>
      <c r="AI303" s="20">
        <f>IF($D$2="JA",Dashboard!$K$26-$AH$11+AH303,Dashboard!$K$26)</f>
        <v>2.3800000000000002E-2</v>
      </c>
      <c r="AJ303" s="27">
        <f>Tabel2[[#This Row],[Schuldrest]]*AI303/12</f>
        <v>98.631902263700226</v>
      </c>
      <c r="AK303" s="20">
        <f>IF($D$2="JA",Dashboard!$K$27-$AH$11+AH303,Dashboard!$K$27)</f>
        <v>2.3800000000000002E-2</v>
      </c>
      <c r="AL303" s="27">
        <f t="shared" si="72"/>
        <v>0</v>
      </c>
      <c r="AM303" s="20">
        <f>IF($D$2="JA",Dashboard!$K$28-$AH$11+AH303,Dashboard!$K$28)</f>
        <v>2.3800000000000002E-2</v>
      </c>
      <c r="AN303" s="27">
        <f t="shared" si="73"/>
        <v>0</v>
      </c>
      <c r="AO303" s="63">
        <f>Tabel2[[#This Row],[Aflossing]]+V303</f>
        <v>683.84510787885336</v>
      </c>
      <c r="AP303" s="63">
        <f t="shared" si="87"/>
        <v>98.631902263700226</v>
      </c>
      <c r="AQ303" s="2">
        <f t="shared" si="74"/>
        <v>113.88020262241338</v>
      </c>
      <c r="AU303" s="20"/>
      <c r="AV303" s="20"/>
    </row>
    <row r="304" spans="1:48">
      <c r="A304" s="71">
        <v>293</v>
      </c>
      <c r="B304" s="77">
        <f t="shared" si="75"/>
        <v>49046.525781381759</v>
      </c>
      <c r="C304" s="73">
        <f>B304/Dashboard!$I$25</f>
        <v>0.19618610312552703</v>
      </c>
      <c r="D304" s="74">
        <f t="shared" si="76"/>
        <v>0</v>
      </c>
      <c r="E304" s="73">
        <f>IF($D$2="JA",Dashboard!$K$26-$D$11+D304,Dashboard!$K$26)</f>
        <v>2.3800000000000002E-2</v>
      </c>
      <c r="F304" s="72">
        <f t="shared" si="77"/>
        <v>97.275609466407161</v>
      </c>
      <c r="G304" s="72">
        <f t="shared" si="88"/>
        <v>685.20140067614602</v>
      </c>
      <c r="H304" s="72">
        <f>IFERROR(-PMT(E304^1/12,Dashboard!$I$30-A304,B304),0)</f>
        <v>782.47701014255324</v>
      </c>
      <c r="I304" s="75">
        <f t="shared" si="78"/>
        <v>782.47701014255324</v>
      </c>
      <c r="J304" s="76">
        <f t="shared" si="89"/>
        <v>50295.929862618214</v>
      </c>
      <c r="K304" s="76">
        <f>J304*Dashboard!$K$26/12</f>
        <v>112.32757669318067</v>
      </c>
      <c r="L304" s="76">
        <f t="shared" si="79"/>
        <v>696.75826588417453</v>
      </c>
      <c r="M304" s="76">
        <f>IF(H304=0,0,IFERROR(-PMT(Dashboard!$K$26^1/12,Dashboard!$I$30,Dashboard!$I$26),0))</f>
        <v>809.08584257735515</v>
      </c>
      <c r="P304" s="59">
        <v>293</v>
      </c>
      <c r="Q304" s="28">
        <f t="shared" si="80"/>
        <v>0</v>
      </c>
      <c r="R304" s="20">
        <f>Q304/Dashboard!$I$25</f>
        <v>0</v>
      </c>
      <c r="S304" s="20">
        <f t="shared" si="81"/>
        <v>0</v>
      </c>
      <c r="T304" s="20">
        <f>IF($D$2="JA",Dashboard!$K$27-$S$11+S304,Dashboard!$K$27)</f>
        <v>2.6800000000000001E-2</v>
      </c>
      <c r="U304" s="27">
        <f t="shared" si="82"/>
        <v>0</v>
      </c>
      <c r="V304" s="26">
        <f>IF(Q304&lt;=1,0,Dashboard!$I$27/Dashboard!$I$30)</f>
        <v>0</v>
      </c>
      <c r="W304" s="28">
        <f>Q304*Dashboard!$K$27/12</f>
        <v>0</v>
      </c>
      <c r="Y304" s="59">
        <v>293</v>
      </c>
      <c r="Z304" s="67">
        <f>Dashboard!$I$28</f>
        <v>0</v>
      </c>
      <c r="AA304" s="64">
        <f>IF(Z304&lt;=1,0,Dashboard!$I$30-Y304)</f>
        <v>0</v>
      </c>
      <c r="AB304" s="64">
        <f t="shared" si="83"/>
        <v>0</v>
      </c>
      <c r="AC304" s="1">
        <f>Dashboard!$K$28</f>
        <v>2.6800000000000001E-2</v>
      </c>
      <c r="AD304" s="28">
        <f t="shared" si="84"/>
        <v>0</v>
      </c>
      <c r="AF304" s="2">
        <f t="shared" si="85"/>
        <v>49046.525781381759</v>
      </c>
      <c r="AG304" s="62">
        <f>(B304+Q304+Z304)/Dashboard!$I$25</f>
        <v>0.19618610312552703</v>
      </c>
      <c r="AH304" s="20">
        <f t="shared" si="86"/>
        <v>0</v>
      </c>
      <c r="AI304" s="20">
        <f>IF($D$2="JA",Dashboard!$K$26-$AH$11+AH304,Dashboard!$K$26)</f>
        <v>2.3800000000000002E-2</v>
      </c>
      <c r="AJ304" s="27">
        <f>Tabel2[[#This Row],[Schuldrest]]*AI304/12</f>
        <v>97.275609466407161</v>
      </c>
      <c r="AK304" s="20">
        <f>IF($D$2="JA",Dashboard!$K$27-$AH$11+AH304,Dashboard!$K$27)</f>
        <v>2.3800000000000002E-2</v>
      </c>
      <c r="AL304" s="27">
        <f t="shared" si="72"/>
        <v>0</v>
      </c>
      <c r="AM304" s="20">
        <f>IF($D$2="JA",Dashboard!$K$28-$AH$11+AH304,Dashboard!$K$28)</f>
        <v>2.3800000000000002E-2</v>
      </c>
      <c r="AN304" s="27">
        <f t="shared" si="73"/>
        <v>0</v>
      </c>
      <c r="AO304" s="63">
        <f>Tabel2[[#This Row],[Aflossing]]+V304</f>
        <v>685.20140067614602</v>
      </c>
      <c r="AP304" s="63">
        <f t="shared" si="87"/>
        <v>97.275609466407161</v>
      </c>
      <c r="AQ304" s="2">
        <f t="shared" si="74"/>
        <v>112.32757669318067</v>
      </c>
      <c r="AU304" s="20"/>
      <c r="AV304" s="20"/>
    </row>
    <row r="305" spans="1:48">
      <c r="A305" s="71">
        <v>294</v>
      </c>
      <c r="B305" s="77">
        <f t="shared" si="75"/>
        <v>48361.324380705613</v>
      </c>
      <c r="C305" s="73">
        <f>B305/Dashboard!$I$25</f>
        <v>0.19344529752282244</v>
      </c>
      <c r="D305" s="74">
        <f t="shared" si="76"/>
        <v>0</v>
      </c>
      <c r="E305" s="73">
        <f>IF($D$2="JA",Dashboard!$K$26-$D$11+D305,Dashboard!$K$26)</f>
        <v>2.3800000000000002E-2</v>
      </c>
      <c r="F305" s="72">
        <f t="shared" si="77"/>
        <v>95.916626688399461</v>
      </c>
      <c r="G305" s="72">
        <f t="shared" si="88"/>
        <v>686.56038345415379</v>
      </c>
      <c r="H305" s="72">
        <f>IFERROR(-PMT(E305^1/12,Dashboard!$I$30-A305,B305),0)</f>
        <v>782.47701014255324</v>
      </c>
      <c r="I305" s="75">
        <f t="shared" si="78"/>
        <v>782.47701014255324</v>
      </c>
      <c r="J305" s="76">
        <f t="shared" si="89"/>
        <v>49599.171596734042</v>
      </c>
      <c r="K305" s="76">
        <f>J305*Dashboard!$K$26/12</f>
        <v>110.77148323270603</v>
      </c>
      <c r="L305" s="76">
        <f t="shared" si="79"/>
        <v>698.31435934464912</v>
      </c>
      <c r="M305" s="76">
        <f>IF(H305=0,0,IFERROR(-PMT(Dashboard!$K$26^1/12,Dashboard!$I$30,Dashboard!$I$26),0))</f>
        <v>809.08584257735515</v>
      </c>
      <c r="P305" s="59">
        <v>294</v>
      </c>
      <c r="Q305" s="28">
        <f t="shared" si="80"/>
        <v>0</v>
      </c>
      <c r="R305" s="20">
        <f>Q305/Dashboard!$I$25</f>
        <v>0</v>
      </c>
      <c r="S305" s="20">
        <f t="shared" si="81"/>
        <v>0</v>
      </c>
      <c r="T305" s="20">
        <f>IF($D$2="JA",Dashboard!$K$27-$S$11+S305,Dashboard!$K$27)</f>
        <v>2.6800000000000001E-2</v>
      </c>
      <c r="U305" s="27">
        <f t="shared" si="82"/>
        <v>0</v>
      </c>
      <c r="V305" s="26">
        <f>IF(Q305&lt;=1,0,Dashboard!$I$27/Dashboard!$I$30)</f>
        <v>0</v>
      </c>
      <c r="W305" s="28">
        <f>Q305*Dashboard!$K$27/12</f>
        <v>0</v>
      </c>
      <c r="Y305" s="59">
        <v>294</v>
      </c>
      <c r="Z305" s="67">
        <f>Dashboard!$I$28</f>
        <v>0</v>
      </c>
      <c r="AA305" s="64">
        <f>IF(Z305&lt;=1,0,Dashboard!$I$30-Y305)</f>
        <v>0</v>
      </c>
      <c r="AB305" s="64">
        <f t="shared" si="83"/>
        <v>0</v>
      </c>
      <c r="AC305" s="1">
        <f>Dashboard!$K$28</f>
        <v>2.6800000000000001E-2</v>
      </c>
      <c r="AD305" s="28">
        <f t="shared" si="84"/>
        <v>0</v>
      </c>
      <c r="AF305" s="2">
        <f t="shared" si="85"/>
        <v>48361.324380705613</v>
      </c>
      <c r="AG305" s="62">
        <f>(B305+Q305+Z305)/Dashboard!$I$25</f>
        <v>0.19344529752282244</v>
      </c>
      <c r="AH305" s="20">
        <f t="shared" si="86"/>
        <v>0</v>
      </c>
      <c r="AI305" s="20">
        <f>IF($D$2="JA",Dashboard!$K$26-$AH$11+AH305,Dashboard!$K$26)</f>
        <v>2.3800000000000002E-2</v>
      </c>
      <c r="AJ305" s="27">
        <f>Tabel2[[#This Row],[Schuldrest]]*AI305/12</f>
        <v>95.916626688399461</v>
      </c>
      <c r="AK305" s="20">
        <f>IF($D$2="JA",Dashboard!$K$27-$AH$11+AH305,Dashboard!$K$27)</f>
        <v>2.3800000000000002E-2</v>
      </c>
      <c r="AL305" s="27">
        <f t="shared" si="72"/>
        <v>0</v>
      </c>
      <c r="AM305" s="20">
        <f>IF($D$2="JA",Dashboard!$K$28-$AH$11+AH305,Dashboard!$K$28)</f>
        <v>2.3800000000000002E-2</v>
      </c>
      <c r="AN305" s="27">
        <f t="shared" si="73"/>
        <v>0</v>
      </c>
      <c r="AO305" s="63">
        <f>Tabel2[[#This Row],[Aflossing]]+V305</f>
        <v>686.56038345415379</v>
      </c>
      <c r="AP305" s="63">
        <f t="shared" si="87"/>
        <v>95.916626688399461</v>
      </c>
      <c r="AQ305" s="2">
        <f t="shared" si="74"/>
        <v>110.77148323270603</v>
      </c>
      <c r="AU305" s="20"/>
      <c r="AV305" s="20"/>
    </row>
    <row r="306" spans="1:48">
      <c r="A306" s="71">
        <v>295</v>
      </c>
      <c r="B306" s="77">
        <f t="shared" si="75"/>
        <v>47674.763997251459</v>
      </c>
      <c r="C306" s="73">
        <f>B306/Dashboard!$I$25</f>
        <v>0.19069905598900583</v>
      </c>
      <c r="D306" s="74">
        <f t="shared" si="76"/>
        <v>0</v>
      </c>
      <c r="E306" s="73">
        <f>IF($D$2="JA",Dashboard!$K$26-$D$11+D306,Dashboard!$K$26)</f>
        <v>2.3800000000000002E-2</v>
      </c>
      <c r="F306" s="72">
        <f t="shared" si="77"/>
        <v>94.554948594548748</v>
      </c>
      <c r="G306" s="72">
        <f t="shared" si="88"/>
        <v>687.92206154800488</v>
      </c>
      <c r="H306" s="72">
        <f>IFERROR(-PMT(E306^1/12,Dashboard!$I$30-A306,B306),0)</f>
        <v>782.47701014255358</v>
      </c>
      <c r="I306" s="75">
        <f t="shared" si="78"/>
        <v>782.47701014255358</v>
      </c>
      <c r="J306" s="76">
        <f t="shared" si="89"/>
        <v>48900.857237389391</v>
      </c>
      <c r="K306" s="76">
        <f>J306*Dashboard!$K$26/12</f>
        <v>109.21191449683631</v>
      </c>
      <c r="L306" s="76">
        <f t="shared" si="79"/>
        <v>699.87392808051879</v>
      </c>
      <c r="M306" s="76">
        <f>IF(H306=0,0,IFERROR(-PMT(Dashboard!$K$26^1/12,Dashboard!$I$30,Dashboard!$I$26),0))</f>
        <v>809.08584257735515</v>
      </c>
      <c r="P306" s="59">
        <v>295</v>
      </c>
      <c r="Q306" s="28">
        <f t="shared" si="80"/>
        <v>0</v>
      </c>
      <c r="R306" s="20">
        <f>Q306/Dashboard!$I$25</f>
        <v>0</v>
      </c>
      <c r="S306" s="20">
        <f t="shared" si="81"/>
        <v>0</v>
      </c>
      <c r="T306" s="20">
        <f>IF($D$2="JA",Dashboard!$K$27-$S$11+S306,Dashboard!$K$27)</f>
        <v>2.6800000000000001E-2</v>
      </c>
      <c r="U306" s="27">
        <f t="shared" si="82"/>
        <v>0</v>
      </c>
      <c r="V306" s="26">
        <f>IF(Q306&lt;=1,0,Dashboard!$I$27/Dashboard!$I$30)</f>
        <v>0</v>
      </c>
      <c r="W306" s="28">
        <f>Q306*Dashboard!$K$27/12</f>
        <v>0</v>
      </c>
      <c r="Y306" s="59">
        <v>295</v>
      </c>
      <c r="Z306" s="67">
        <f>Dashboard!$I$28</f>
        <v>0</v>
      </c>
      <c r="AA306" s="64">
        <f>IF(Z306&lt;=1,0,Dashboard!$I$30-Y306)</f>
        <v>0</v>
      </c>
      <c r="AB306" s="64">
        <f t="shared" si="83"/>
        <v>0</v>
      </c>
      <c r="AC306" s="1">
        <f>Dashboard!$K$28</f>
        <v>2.6800000000000001E-2</v>
      </c>
      <c r="AD306" s="28">
        <f t="shared" si="84"/>
        <v>0</v>
      </c>
      <c r="AF306" s="2">
        <f t="shared" si="85"/>
        <v>47674.763997251459</v>
      </c>
      <c r="AG306" s="62">
        <f>(B306+Q306+Z306)/Dashboard!$I$25</f>
        <v>0.19069905598900583</v>
      </c>
      <c r="AH306" s="20">
        <f t="shared" si="86"/>
        <v>0</v>
      </c>
      <c r="AI306" s="20">
        <f>IF($D$2="JA",Dashboard!$K$26-$AH$11+AH306,Dashboard!$K$26)</f>
        <v>2.3800000000000002E-2</v>
      </c>
      <c r="AJ306" s="27">
        <f>Tabel2[[#This Row],[Schuldrest]]*AI306/12</f>
        <v>94.554948594548748</v>
      </c>
      <c r="AK306" s="20">
        <f>IF($D$2="JA",Dashboard!$K$27-$AH$11+AH306,Dashboard!$K$27)</f>
        <v>2.3800000000000002E-2</v>
      </c>
      <c r="AL306" s="27">
        <f t="shared" si="72"/>
        <v>0</v>
      </c>
      <c r="AM306" s="20">
        <f>IF($D$2="JA",Dashboard!$K$28-$AH$11+AH306,Dashboard!$K$28)</f>
        <v>2.3800000000000002E-2</v>
      </c>
      <c r="AN306" s="27">
        <f t="shared" si="73"/>
        <v>0</v>
      </c>
      <c r="AO306" s="63">
        <f>Tabel2[[#This Row],[Aflossing]]+V306</f>
        <v>687.92206154800488</v>
      </c>
      <c r="AP306" s="63">
        <f t="shared" si="87"/>
        <v>94.554948594548748</v>
      </c>
      <c r="AQ306" s="2">
        <f t="shared" si="74"/>
        <v>109.21191449683631</v>
      </c>
      <c r="AU306" s="20"/>
      <c r="AV306" s="20"/>
    </row>
    <row r="307" spans="1:48">
      <c r="A307" s="71">
        <v>296</v>
      </c>
      <c r="B307" s="77">
        <f t="shared" si="75"/>
        <v>46986.841935703451</v>
      </c>
      <c r="C307" s="73">
        <f>B307/Dashboard!$I$25</f>
        <v>0.18794736774281381</v>
      </c>
      <c r="D307" s="74">
        <f t="shared" si="76"/>
        <v>0</v>
      </c>
      <c r="E307" s="73">
        <f>IF($D$2="JA",Dashboard!$K$26-$D$11+D307,Dashboard!$K$26)</f>
        <v>2.3800000000000002E-2</v>
      </c>
      <c r="F307" s="72">
        <f t="shared" si="77"/>
        <v>93.190569839145198</v>
      </c>
      <c r="G307" s="72">
        <f t="shared" si="88"/>
        <v>689.28644030340809</v>
      </c>
      <c r="H307" s="72">
        <f>IFERROR(-PMT(E307^1/12,Dashboard!$I$30-A307,B307),0)</f>
        <v>782.47701014255324</v>
      </c>
      <c r="I307" s="75">
        <f t="shared" si="78"/>
        <v>782.47701014255324</v>
      </c>
      <c r="J307" s="76">
        <f t="shared" si="89"/>
        <v>48200.983309308875</v>
      </c>
      <c r="K307" s="76">
        <f>J307*Dashboard!$K$26/12</f>
        <v>107.64886272412315</v>
      </c>
      <c r="L307" s="76">
        <f t="shared" si="79"/>
        <v>701.43697985323206</v>
      </c>
      <c r="M307" s="76">
        <f>IF(H307=0,0,IFERROR(-PMT(Dashboard!$K$26^1/12,Dashboard!$I$30,Dashboard!$I$26),0))</f>
        <v>809.08584257735515</v>
      </c>
      <c r="P307" s="59">
        <v>296</v>
      </c>
      <c r="Q307" s="28">
        <f t="shared" si="80"/>
        <v>0</v>
      </c>
      <c r="R307" s="20">
        <f>Q307/Dashboard!$I$25</f>
        <v>0</v>
      </c>
      <c r="S307" s="20">
        <f t="shared" si="81"/>
        <v>0</v>
      </c>
      <c r="T307" s="20">
        <f>IF($D$2="JA",Dashboard!$K$27-$S$11+S307,Dashboard!$K$27)</f>
        <v>2.6800000000000001E-2</v>
      </c>
      <c r="U307" s="27">
        <f t="shared" si="82"/>
        <v>0</v>
      </c>
      <c r="V307" s="26">
        <f>IF(Q307&lt;=1,0,Dashboard!$I$27/Dashboard!$I$30)</f>
        <v>0</v>
      </c>
      <c r="W307" s="28">
        <f>Q307*Dashboard!$K$27/12</f>
        <v>0</v>
      </c>
      <c r="Y307" s="59">
        <v>296</v>
      </c>
      <c r="Z307" s="67">
        <f>Dashboard!$I$28</f>
        <v>0</v>
      </c>
      <c r="AA307" s="64">
        <f>IF(Z307&lt;=1,0,Dashboard!$I$30-Y307)</f>
        <v>0</v>
      </c>
      <c r="AB307" s="64">
        <f t="shared" si="83"/>
        <v>0</v>
      </c>
      <c r="AC307" s="1">
        <f>Dashboard!$K$28</f>
        <v>2.6800000000000001E-2</v>
      </c>
      <c r="AD307" s="28">
        <f t="shared" si="84"/>
        <v>0</v>
      </c>
      <c r="AF307" s="2">
        <f t="shared" si="85"/>
        <v>46986.841935703451</v>
      </c>
      <c r="AG307" s="62">
        <f>(B307+Q307+Z307)/Dashboard!$I$25</f>
        <v>0.18794736774281381</v>
      </c>
      <c r="AH307" s="20">
        <f t="shared" si="86"/>
        <v>0</v>
      </c>
      <c r="AI307" s="20">
        <f>IF($D$2="JA",Dashboard!$K$26-$AH$11+AH307,Dashboard!$K$26)</f>
        <v>2.3800000000000002E-2</v>
      </c>
      <c r="AJ307" s="27">
        <f>Tabel2[[#This Row],[Schuldrest]]*AI307/12</f>
        <v>93.190569839145198</v>
      </c>
      <c r="AK307" s="20">
        <f>IF($D$2="JA",Dashboard!$K$27-$AH$11+AH307,Dashboard!$K$27)</f>
        <v>2.3800000000000002E-2</v>
      </c>
      <c r="AL307" s="27">
        <f t="shared" si="72"/>
        <v>0</v>
      </c>
      <c r="AM307" s="20">
        <f>IF($D$2="JA",Dashboard!$K$28-$AH$11+AH307,Dashboard!$K$28)</f>
        <v>2.3800000000000002E-2</v>
      </c>
      <c r="AN307" s="27">
        <f t="shared" si="73"/>
        <v>0</v>
      </c>
      <c r="AO307" s="63">
        <f>Tabel2[[#This Row],[Aflossing]]+V307</f>
        <v>689.28644030340809</v>
      </c>
      <c r="AP307" s="63">
        <f t="shared" si="87"/>
        <v>93.190569839145198</v>
      </c>
      <c r="AQ307" s="2">
        <f t="shared" si="74"/>
        <v>107.64886272412315</v>
      </c>
      <c r="AU307" s="20"/>
      <c r="AV307" s="20"/>
    </row>
    <row r="308" spans="1:48">
      <c r="A308" s="71">
        <v>297</v>
      </c>
      <c r="B308" s="77">
        <f t="shared" si="75"/>
        <v>46297.55549540004</v>
      </c>
      <c r="C308" s="73">
        <f>B308/Dashboard!$I$25</f>
        <v>0.18519022198160015</v>
      </c>
      <c r="D308" s="74">
        <f t="shared" si="76"/>
        <v>0</v>
      </c>
      <c r="E308" s="73">
        <f>IF($D$2="JA",Dashboard!$K$26-$D$11+D308,Dashboard!$K$26)</f>
        <v>2.3800000000000002E-2</v>
      </c>
      <c r="F308" s="72">
        <f t="shared" si="77"/>
        <v>91.823485065876753</v>
      </c>
      <c r="G308" s="72">
        <f t="shared" si="88"/>
        <v>690.65352507667649</v>
      </c>
      <c r="H308" s="72">
        <f>IFERROR(-PMT(E308^1/12,Dashboard!$I$30-A308,B308),0)</f>
        <v>782.47701014255324</v>
      </c>
      <c r="I308" s="75">
        <f t="shared" si="78"/>
        <v>782.47701014255324</v>
      </c>
      <c r="J308" s="76">
        <f t="shared" si="89"/>
        <v>47499.546329455639</v>
      </c>
      <c r="K308" s="76">
        <f>J308*Dashboard!$K$26/12</f>
        <v>106.08232013578426</v>
      </c>
      <c r="L308" s="76">
        <f t="shared" si="79"/>
        <v>703.00352244157091</v>
      </c>
      <c r="M308" s="76">
        <f>IF(H308=0,0,IFERROR(-PMT(Dashboard!$K$26^1/12,Dashboard!$I$30,Dashboard!$I$26),0))</f>
        <v>809.08584257735515</v>
      </c>
      <c r="P308" s="59">
        <v>297</v>
      </c>
      <c r="Q308" s="28">
        <f t="shared" si="80"/>
        <v>0</v>
      </c>
      <c r="R308" s="20">
        <f>Q308/Dashboard!$I$25</f>
        <v>0</v>
      </c>
      <c r="S308" s="20">
        <f t="shared" si="81"/>
        <v>0</v>
      </c>
      <c r="T308" s="20">
        <f>IF($D$2="JA",Dashboard!$K$27-$S$11+S308,Dashboard!$K$27)</f>
        <v>2.6800000000000001E-2</v>
      </c>
      <c r="U308" s="27">
        <f t="shared" si="82"/>
        <v>0</v>
      </c>
      <c r="V308" s="26">
        <f>IF(Q308&lt;=1,0,Dashboard!$I$27/Dashboard!$I$30)</f>
        <v>0</v>
      </c>
      <c r="W308" s="28">
        <f>Q308*Dashboard!$K$27/12</f>
        <v>0</v>
      </c>
      <c r="Y308" s="59">
        <v>297</v>
      </c>
      <c r="Z308" s="67">
        <f>Dashboard!$I$28</f>
        <v>0</v>
      </c>
      <c r="AA308" s="64">
        <f>IF(Z308&lt;=1,0,Dashboard!$I$30-Y308)</f>
        <v>0</v>
      </c>
      <c r="AB308" s="64">
        <f t="shared" si="83"/>
        <v>0</v>
      </c>
      <c r="AC308" s="1">
        <f>Dashboard!$K$28</f>
        <v>2.6800000000000001E-2</v>
      </c>
      <c r="AD308" s="28">
        <f t="shared" si="84"/>
        <v>0</v>
      </c>
      <c r="AF308" s="2">
        <f t="shared" si="85"/>
        <v>46297.55549540004</v>
      </c>
      <c r="AG308" s="62">
        <f>(B308+Q308+Z308)/Dashboard!$I$25</f>
        <v>0.18519022198160015</v>
      </c>
      <c r="AH308" s="20">
        <f t="shared" si="86"/>
        <v>0</v>
      </c>
      <c r="AI308" s="20">
        <f>IF($D$2="JA",Dashboard!$K$26-$AH$11+AH308,Dashboard!$K$26)</f>
        <v>2.3800000000000002E-2</v>
      </c>
      <c r="AJ308" s="27">
        <f>Tabel2[[#This Row],[Schuldrest]]*AI308/12</f>
        <v>91.823485065876753</v>
      </c>
      <c r="AK308" s="20">
        <f>IF($D$2="JA",Dashboard!$K$27-$AH$11+AH308,Dashboard!$K$27)</f>
        <v>2.3800000000000002E-2</v>
      </c>
      <c r="AL308" s="27">
        <f t="shared" si="72"/>
        <v>0</v>
      </c>
      <c r="AM308" s="20">
        <f>IF($D$2="JA",Dashboard!$K$28-$AH$11+AH308,Dashboard!$K$28)</f>
        <v>2.3800000000000002E-2</v>
      </c>
      <c r="AN308" s="27">
        <f t="shared" si="73"/>
        <v>0</v>
      </c>
      <c r="AO308" s="63">
        <f>Tabel2[[#This Row],[Aflossing]]+V308</f>
        <v>690.65352507667649</v>
      </c>
      <c r="AP308" s="63">
        <f t="shared" si="87"/>
        <v>91.823485065876753</v>
      </c>
      <c r="AQ308" s="2">
        <f t="shared" si="74"/>
        <v>106.08232013578426</v>
      </c>
      <c r="AU308" s="20"/>
      <c r="AV308" s="20"/>
    </row>
    <row r="309" spans="1:48">
      <c r="A309" s="71">
        <v>298</v>
      </c>
      <c r="B309" s="77">
        <f t="shared" si="75"/>
        <v>45606.901970323364</v>
      </c>
      <c r="C309" s="73">
        <f>B309/Dashboard!$I$25</f>
        <v>0.18242760788129345</v>
      </c>
      <c r="D309" s="74">
        <f t="shared" si="76"/>
        <v>0</v>
      </c>
      <c r="E309" s="73">
        <f>IF($D$2="JA",Dashboard!$K$26-$D$11+D309,Dashboard!$K$26)</f>
        <v>2.3800000000000002E-2</v>
      </c>
      <c r="F309" s="72">
        <f t="shared" si="77"/>
        <v>90.453688907808001</v>
      </c>
      <c r="G309" s="72">
        <f t="shared" si="88"/>
        <v>692.02332123474525</v>
      </c>
      <c r="H309" s="72">
        <f>IFERROR(-PMT(E309^1/12,Dashboard!$I$30-A309,B309),0)</f>
        <v>782.47701014255324</v>
      </c>
      <c r="I309" s="75">
        <f t="shared" si="78"/>
        <v>782.47701014255324</v>
      </c>
      <c r="J309" s="76">
        <f t="shared" si="89"/>
        <v>46796.54280701407</v>
      </c>
      <c r="K309" s="76">
        <f>J309*Dashboard!$K$26/12</f>
        <v>104.51227893566477</v>
      </c>
      <c r="L309" s="76">
        <f t="shared" si="79"/>
        <v>704.57356364169038</v>
      </c>
      <c r="M309" s="76">
        <f>IF(H309=0,0,IFERROR(-PMT(Dashboard!$K$26^1/12,Dashboard!$I$30,Dashboard!$I$26),0))</f>
        <v>809.08584257735515</v>
      </c>
      <c r="P309" s="59">
        <v>298</v>
      </c>
      <c r="Q309" s="28">
        <f t="shared" si="80"/>
        <v>0</v>
      </c>
      <c r="R309" s="20">
        <f>Q309/Dashboard!$I$25</f>
        <v>0</v>
      </c>
      <c r="S309" s="20">
        <f t="shared" si="81"/>
        <v>0</v>
      </c>
      <c r="T309" s="20">
        <f>IF($D$2="JA",Dashboard!$K$27-$S$11+S309,Dashboard!$K$27)</f>
        <v>2.6800000000000001E-2</v>
      </c>
      <c r="U309" s="27">
        <f t="shared" si="82"/>
        <v>0</v>
      </c>
      <c r="V309" s="26">
        <f>IF(Q309&lt;=1,0,Dashboard!$I$27/Dashboard!$I$30)</f>
        <v>0</v>
      </c>
      <c r="W309" s="28">
        <f>Q309*Dashboard!$K$27/12</f>
        <v>0</v>
      </c>
      <c r="Y309" s="59">
        <v>298</v>
      </c>
      <c r="Z309" s="67">
        <f>Dashboard!$I$28</f>
        <v>0</v>
      </c>
      <c r="AA309" s="64">
        <f>IF(Z309&lt;=1,0,Dashboard!$I$30-Y309)</f>
        <v>0</v>
      </c>
      <c r="AB309" s="64">
        <f t="shared" si="83"/>
        <v>0</v>
      </c>
      <c r="AC309" s="1">
        <f>Dashboard!$K$28</f>
        <v>2.6800000000000001E-2</v>
      </c>
      <c r="AD309" s="28">
        <f t="shared" si="84"/>
        <v>0</v>
      </c>
      <c r="AF309" s="2">
        <f t="shared" si="85"/>
        <v>45606.901970323364</v>
      </c>
      <c r="AG309" s="62">
        <f>(B309+Q309+Z309)/Dashboard!$I$25</f>
        <v>0.18242760788129345</v>
      </c>
      <c r="AH309" s="20">
        <f t="shared" si="86"/>
        <v>0</v>
      </c>
      <c r="AI309" s="20">
        <f>IF($D$2="JA",Dashboard!$K$26-$AH$11+AH309,Dashboard!$K$26)</f>
        <v>2.3800000000000002E-2</v>
      </c>
      <c r="AJ309" s="27">
        <f>Tabel2[[#This Row],[Schuldrest]]*AI309/12</f>
        <v>90.453688907808001</v>
      </c>
      <c r="AK309" s="20">
        <f>IF($D$2="JA",Dashboard!$K$27-$AH$11+AH309,Dashboard!$K$27)</f>
        <v>2.3800000000000002E-2</v>
      </c>
      <c r="AL309" s="27">
        <f t="shared" si="72"/>
        <v>0</v>
      </c>
      <c r="AM309" s="20">
        <f>IF($D$2="JA",Dashboard!$K$28-$AH$11+AH309,Dashboard!$K$28)</f>
        <v>2.3800000000000002E-2</v>
      </c>
      <c r="AN309" s="27">
        <f t="shared" si="73"/>
        <v>0</v>
      </c>
      <c r="AO309" s="63">
        <f>Tabel2[[#This Row],[Aflossing]]+V309</f>
        <v>692.02332123474525</v>
      </c>
      <c r="AP309" s="63">
        <f t="shared" si="87"/>
        <v>90.453688907808001</v>
      </c>
      <c r="AQ309" s="2">
        <f t="shared" si="74"/>
        <v>104.51227893566477</v>
      </c>
      <c r="AU309" s="20"/>
      <c r="AV309" s="20"/>
    </row>
    <row r="310" spans="1:48">
      <c r="A310" s="71">
        <v>299</v>
      </c>
      <c r="B310" s="77">
        <f t="shared" si="75"/>
        <v>44914.87864908862</v>
      </c>
      <c r="C310" s="73">
        <f>B310/Dashboard!$I$25</f>
        <v>0.17965951459635449</v>
      </c>
      <c r="D310" s="74">
        <f t="shared" si="76"/>
        <v>0</v>
      </c>
      <c r="E310" s="73">
        <f>IF($D$2="JA",Dashboard!$K$26-$D$11+D310,Dashboard!$K$26)</f>
        <v>2.3800000000000002E-2</v>
      </c>
      <c r="F310" s="72">
        <f t="shared" si="77"/>
        <v>89.081175987359089</v>
      </c>
      <c r="G310" s="72">
        <f t="shared" si="88"/>
        <v>693.39583415519428</v>
      </c>
      <c r="H310" s="72">
        <f>IFERROR(-PMT(E310^1/12,Dashboard!$I$30-A310,B310),0)</f>
        <v>782.47701014255335</v>
      </c>
      <c r="I310" s="75">
        <f t="shared" si="78"/>
        <v>782.47701014255335</v>
      </c>
      <c r="J310" s="76">
        <f t="shared" si="89"/>
        <v>46091.969243372376</v>
      </c>
      <c r="K310" s="76">
        <f>J310*Dashboard!$K$26/12</f>
        <v>102.93873131019831</v>
      </c>
      <c r="L310" s="76">
        <f t="shared" si="79"/>
        <v>706.14711126715679</v>
      </c>
      <c r="M310" s="76">
        <f>IF(H310=0,0,IFERROR(-PMT(Dashboard!$K$26^1/12,Dashboard!$I$30,Dashboard!$I$26),0))</f>
        <v>809.08584257735515</v>
      </c>
      <c r="P310" s="59">
        <v>299</v>
      </c>
      <c r="Q310" s="28">
        <f t="shared" si="80"/>
        <v>0</v>
      </c>
      <c r="R310" s="20">
        <f>Q310/Dashboard!$I$25</f>
        <v>0</v>
      </c>
      <c r="S310" s="20">
        <f t="shared" si="81"/>
        <v>0</v>
      </c>
      <c r="T310" s="20">
        <f>IF($D$2="JA",Dashboard!$K$27-$S$11+S310,Dashboard!$K$27)</f>
        <v>2.6800000000000001E-2</v>
      </c>
      <c r="U310" s="27">
        <f t="shared" si="82"/>
        <v>0</v>
      </c>
      <c r="V310" s="26">
        <f>IF(Q310&lt;=1,0,Dashboard!$I$27/Dashboard!$I$30)</f>
        <v>0</v>
      </c>
      <c r="W310" s="28">
        <f>Q310*Dashboard!$K$27/12</f>
        <v>0</v>
      </c>
      <c r="Y310" s="59">
        <v>299</v>
      </c>
      <c r="Z310" s="67">
        <f>Dashboard!$I$28</f>
        <v>0</v>
      </c>
      <c r="AA310" s="64">
        <f>IF(Z310&lt;=1,0,Dashboard!$I$30-Y310)</f>
        <v>0</v>
      </c>
      <c r="AB310" s="64">
        <f t="shared" si="83"/>
        <v>0</v>
      </c>
      <c r="AC310" s="1">
        <f>Dashboard!$K$28</f>
        <v>2.6800000000000001E-2</v>
      </c>
      <c r="AD310" s="28">
        <f t="shared" si="84"/>
        <v>0</v>
      </c>
      <c r="AF310" s="2">
        <f t="shared" si="85"/>
        <v>44914.87864908862</v>
      </c>
      <c r="AG310" s="62">
        <f>(B310+Q310+Z310)/Dashboard!$I$25</f>
        <v>0.17965951459635449</v>
      </c>
      <c r="AH310" s="20">
        <f t="shared" si="86"/>
        <v>0</v>
      </c>
      <c r="AI310" s="20">
        <f>IF($D$2="JA",Dashboard!$K$26-$AH$11+AH310,Dashboard!$K$26)</f>
        <v>2.3800000000000002E-2</v>
      </c>
      <c r="AJ310" s="27">
        <f>Tabel2[[#This Row],[Schuldrest]]*AI310/12</f>
        <v>89.081175987359089</v>
      </c>
      <c r="AK310" s="20">
        <f>IF($D$2="JA",Dashboard!$K$27-$AH$11+AH310,Dashboard!$K$27)</f>
        <v>2.3800000000000002E-2</v>
      </c>
      <c r="AL310" s="27">
        <f t="shared" si="72"/>
        <v>0</v>
      </c>
      <c r="AM310" s="20">
        <f>IF($D$2="JA",Dashboard!$K$28-$AH$11+AH310,Dashboard!$K$28)</f>
        <v>2.3800000000000002E-2</v>
      </c>
      <c r="AN310" s="27">
        <f t="shared" si="73"/>
        <v>0</v>
      </c>
      <c r="AO310" s="63">
        <f>Tabel2[[#This Row],[Aflossing]]+V310</f>
        <v>693.39583415519428</v>
      </c>
      <c r="AP310" s="63">
        <f t="shared" si="87"/>
        <v>89.081175987359089</v>
      </c>
      <c r="AQ310" s="2">
        <f t="shared" si="74"/>
        <v>102.93873131019831</v>
      </c>
      <c r="AU310" s="20"/>
      <c r="AV310" s="20"/>
    </row>
    <row r="311" spans="1:48">
      <c r="A311" s="71">
        <v>300</v>
      </c>
      <c r="B311" s="77">
        <f t="shared" si="75"/>
        <v>44221.482814933428</v>
      </c>
      <c r="C311" s="73">
        <f>B311/Dashboard!$I$25</f>
        <v>0.1768859312597337</v>
      </c>
      <c r="D311" s="74">
        <f t="shared" si="76"/>
        <v>0</v>
      </c>
      <c r="E311" s="73">
        <f>IF($D$2="JA",Dashboard!$K$26-$D$11+D311,Dashboard!$K$26)</f>
        <v>2.3800000000000002E-2</v>
      </c>
      <c r="F311" s="72">
        <f t="shared" si="77"/>
        <v>87.705940916284646</v>
      </c>
      <c r="G311" s="72">
        <f t="shared" si="88"/>
        <v>694.77106922626876</v>
      </c>
      <c r="H311" s="72">
        <f>IFERROR(-PMT(E311^1/12,Dashboard!$I$30-A311,B311),0)</f>
        <v>782.47701014255335</v>
      </c>
      <c r="I311" s="75">
        <f t="shared" si="78"/>
        <v>782.47701014255335</v>
      </c>
      <c r="J311" s="76">
        <f t="shared" si="89"/>
        <v>45385.822132105219</v>
      </c>
      <c r="K311" s="76">
        <f>J311*Dashboard!$K$26/12</f>
        <v>101.36166942836832</v>
      </c>
      <c r="L311" s="76">
        <f t="shared" si="79"/>
        <v>707.72417314898689</v>
      </c>
      <c r="M311" s="76">
        <f>IF(H311=0,0,IFERROR(-PMT(Dashboard!$K$26^1/12,Dashboard!$I$30,Dashboard!$I$26),0))</f>
        <v>809.08584257735515</v>
      </c>
      <c r="P311" s="59">
        <v>300</v>
      </c>
      <c r="Q311" s="28">
        <f t="shared" si="80"/>
        <v>0</v>
      </c>
      <c r="R311" s="20">
        <f>Q311/Dashboard!$I$25</f>
        <v>0</v>
      </c>
      <c r="S311" s="20">
        <f t="shared" si="81"/>
        <v>0</v>
      </c>
      <c r="T311" s="20">
        <f>IF($D$2="JA",Dashboard!$K$27-$S$11+S311,Dashboard!$K$27)</f>
        <v>2.6800000000000001E-2</v>
      </c>
      <c r="U311" s="27">
        <f t="shared" si="82"/>
        <v>0</v>
      </c>
      <c r="V311" s="26">
        <f>IF(Q311&lt;=1,0,Dashboard!$I$27/Dashboard!$I$30)</f>
        <v>0</v>
      </c>
      <c r="W311" s="28">
        <f>Q311*Dashboard!$K$27/12</f>
        <v>0</v>
      </c>
      <c r="Y311" s="59">
        <v>300</v>
      </c>
      <c r="Z311" s="67">
        <f>Dashboard!$I$28</f>
        <v>0</v>
      </c>
      <c r="AA311" s="64">
        <f>IF(Z311&lt;=1,0,Dashboard!$I$30-Y311)</f>
        <v>0</v>
      </c>
      <c r="AB311" s="64">
        <f t="shared" si="83"/>
        <v>0</v>
      </c>
      <c r="AC311" s="1">
        <f>Dashboard!$K$28</f>
        <v>2.6800000000000001E-2</v>
      </c>
      <c r="AD311" s="28">
        <f t="shared" si="84"/>
        <v>0</v>
      </c>
      <c r="AF311" s="2">
        <f t="shared" si="85"/>
        <v>44221.482814933428</v>
      </c>
      <c r="AG311" s="62">
        <f>(B311+Q311+Z311)/Dashboard!$I$25</f>
        <v>0.1768859312597337</v>
      </c>
      <c r="AH311" s="20">
        <f t="shared" si="86"/>
        <v>0</v>
      </c>
      <c r="AI311" s="20">
        <f>IF($D$2="JA",Dashboard!$K$26-$AH$11+AH311,Dashboard!$K$26)</f>
        <v>2.3800000000000002E-2</v>
      </c>
      <c r="AJ311" s="27">
        <f>Tabel2[[#This Row],[Schuldrest]]*AI311/12</f>
        <v>87.705940916284646</v>
      </c>
      <c r="AK311" s="20">
        <f>IF($D$2="JA",Dashboard!$K$27-$AH$11+AH311,Dashboard!$K$27)</f>
        <v>2.3800000000000002E-2</v>
      </c>
      <c r="AL311" s="27">
        <f t="shared" si="72"/>
        <v>0</v>
      </c>
      <c r="AM311" s="20">
        <f>IF($D$2="JA",Dashboard!$K$28-$AH$11+AH311,Dashboard!$K$28)</f>
        <v>2.3800000000000002E-2</v>
      </c>
      <c r="AN311" s="27">
        <f t="shared" si="73"/>
        <v>0</v>
      </c>
      <c r="AO311" s="63">
        <f>Tabel2[[#This Row],[Aflossing]]+V311</f>
        <v>694.77106922626876</v>
      </c>
      <c r="AP311" s="63">
        <f t="shared" si="87"/>
        <v>87.705940916284646</v>
      </c>
      <c r="AQ311" s="2">
        <f t="shared" si="74"/>
        <v>101.36166942836832</v>
      </c>
      <c r="AU311" s="20"/>
      <c r="AV311" s="20"/>
    </row>
    <row r="312" spans="1:48">
      <c r="A312" s="71">
        <v>301</v>
      </c>
      <c r="B312" s="77">
        <f t="shared" si="75"/>
        <v>43526.711745707158</v>
      </c>
      <c r="C312" s="73">
        <f>B312/Dashboard!$I$25</f>
        <v>0.17410684698282863</v>
      </c>
      <c r="D312" s="74">
        <f t="shared" si="76"/>
        <v>0</v>
      </c>
      <c r="E312" s="73">
        <f>IF($D$2="JA",Dashboard!$K$26-$D$11+D312,Dashboard!$K$26)</f>
        <v>2.3800000000000002E-2</v>
      </c>
      <c r="F312" s="72">
        <f t="shared" si="77"/>
        <v>86.327978295652542</v>
      </c>
      <c r="G312" s="72">
        <f t="shared" si="88"/>
        <v>696.1490318469007</v>
      </c>
      <c r="H312" s="72">
        <f>IFERROR(-PMT(E312^1/12,Dashboard!$I$30-A312,B312),0)</f>
        <v>782.47701014255324</v>
      </c>
      <c r="I312" s="75">
        <f t="shared" si="78"/>
        <v>782.47701014255324</v>
      </c>
      <c r="J312" s="76">
        <f t="shared" si="89"/>
        <v>44678.097958956234</v>
      </c>
      <c r="K312" s="76">
        <f>J312*Dashboard!$K$26/12</f>
        <v>99.781085441668935</v>
      </c>
      <c r="L312" s="76">
        <f t="shared" si="79"/>
        <v>709.30475713568626</v>
      </c>
      <c r="M312" s="76">
        <f>IF(H312=0,0,IFERROR(-PMT(Dashboard!$K$26^1/12,Dashboard!$I$30,Dashboard!$I$26),0))</f>
        <v>809.08584257735515</v>
      </c>
      <c r="P312" s="59">
        <v>301</v>
      </c>
      <c r="Q312" s="28">
        <f t="shared" si="80"/>
        <v>0</v>
      </c>
      <c r="R312" s="20">
        <f>Q312/Dashboard!$I$25</f>
        <v>0</v>
      </c>
      <c r="S312" s="20">
        <f t="shared" si="81"/>
        <v>0</v>
      </c>
      <c r="T312" s="20">
        <f>IF($D$2="JA",Dashboard!$K$27-$S$11+S312,Dashboard!$K$27)</f>
        <v>2.6800000000000001E-2</v>
      </c>
      <c r="U312" s="27">
        <f t="shared" si="82"/>
        <v>0</v>
      </c>
      <c r="V312" s="26">
        <f>IF(Q312&lt;=1,0,Dashboard!$I$27/Dashboard!$I$30)</f>
        <v>0</v>
      </c>
      <c r="W312" s="28">
        <f>Q312*Dashboard!$K$27/12</f>
        <v>0</v>
      </c>
      <c r="Y312" s="59">
        <v>301</v>
      </c>
      <c r="Z312" s="67">
        <f>Dashboard!$I$28</f>
        <v>0</v>
      </c>
      <c r="AA312" s="64">
        <f>IF(Z312&lt;=1,0,Dashboard!$I$30-Y312)</f>
        <v>0</v>
      </c>
      <c r="AB312" s="64">
        <f t="shared" si="83"/>
        <v>0</v>
      </c>
      <c r="AC312" s="1">
        <f>Dashboard!$K$28</f>
        <v>2.6800000000000001E-2</v>
      </c>
      <c r="AD312" s="28">
        <f t="shared" si="84"/>
        <v>0</v>
      </c>
      <c r="AF312" s="2">
        <f t="shared" si="85"/>
        <v>43526.711745707158</v>
      </c>
      <c r="AG312" s="62">
        <f>(B312+Q312+Z312)/Dashboard!$I$25</f>
        <v>0.17410684698282863</v>
      </c>
      <c r="AH312" s="20">
        <f t="shared" si="86"/>
        <v>0</v>
      </c>
      <c r="AI312" s="20">
        <f>IF($D$2="JA",Dashboard!$K$26-$AH$11+AH312,Dashboard!$K$26)</f>
        <v>2.3800000000000002E-2</v>
      </c>
      <c r="AJ312" s="27">
        <f>Tabel2[[#This Row],[Schuldrest]]*AI312/12</f>
        <v>86.327978295652542</v>
      </c>
      <c r="AK312" s="20">
        <f>IF($D$2="JA",Dashboard!$K$27-$AH$11+AH312,Dashboard!$K$27)</f>
        <v>2.3800000000000002E-2</v>
      </c>
      <c r="AL312" s="27">
        <f t="shared" si="72"/>
        <v>0</v>
      </c>
      <c r="AM312" s="20">
        <f>IF($D$2="JA",Dashboard!$K$28-$AH$11+AH312,Dashboard!$K$28)</f>
        <v>2.3800000000000002E-2</v>
      </c>
      <c r="AN312" s="27">
        <f t="shared" si="73"/>
        <v>0</v>
      </c>
      <c r="AO312" s="63">
        <f>Tabel2[[#This Row],[Aflossing]]+V312</f>
        <v>696.1490318469007</v>
      </c>
      <c r="AP312" s="63">
        <f t="shared" si="87"/>
        <v>86.327978295652542</v>
      </c>
      <c r="AQ312" s="2">
        <f t="shared" si="74"/>
        <v>99.781085441668935</v>
      </c>
      <c r="AU312" s="20"/>
      <c r="AV312" s="20"/>
    </row>
    <row r="313" spans="1:48">
      <c r="A313" s="71">
        <v>302</v>
      </c>
      <c r="B313" s="77">
        <f t="shared" si="75"/>
        <v>42830.562713860258</v>
      </c>
      <c r="C313" s="73">
        <f>B313/Dashboard!$I$25</f>
        <v>0.17132225085544103</v>
      </c>
      <c r="D313" s="74">
        <f t="shared" si="76"/>
        <v>0</v>
      </c>
      <c r="E313" s="73">
        <f>IF($D$2="JA",Dashboard!$K$26-$D$11+D313,Dashboard!$K$26)</f>
        <v>2.3800000000000002E-2</v>
      </c>
      <c r="F313" s="72">
        <f t="shared" si="77"/>
        <v>84.947282715822851</v>
      </c>
      <c r="G313" s="72">
        <f t="shared" si="88"/>
        <v>697.52972742673035</v>
      </c>
      <c r="H313" s="72">
        <f>IFERROR(-PMT(E313^1/12,Dashboard!$I$30-A313,B313),0)</f>
        <v>782.47701014255324</v>
      </c>
      <c r="I313" s="75">
        <f t="shared" si="78"/>
        <v>782.47701014255324</v>
      </c>
      <c r="J313" s="76">
        <f t="shared" si="89"/>
        <v>43968.793201820547</v>
      </c>
      <c r="K313" s="76">
        <f>J313*Dashboard!$K$26/12</f>
        <v>98.196971484065898</v>
      </c>
      <c r="L313" s="76">
        <f t="shared" si="79"/>
        <v>710.88887109328925</v>
      </c>
      <c r="M313" s="76">
        <f>IF(H313=0,0,IFERROR(-PMT(Dashboard!$K$26^1/12,Dashboard!$I$30,Dashboard!$I$26),0))</f>
        <v>809.08584257735515</v>
      </c>
      <c r="P313" s="59">
        <v>302</v>
      </c>
      <c r="Q313" s="28">
        <f t="shared" si="80"/>
        <v>0</v>
      </c>
      <c r="R313" s="20">
        <f>Q313/Dashboard!$I$25</f>
        <v>0</v>
      </c>
      <c r="S313" s="20">
        <f t="shared" si="81"/>
        <v>0</v>
      </c>
      <c r="T313" s="20">
        <f>IF($D$2="JA",Dashboard!$K$27-$S$11+S313,Dashboard!$K$27)</f>
        <v>2.6800000000000001E-2</v>
      </c>
      <c r="U313" s="27">
        <f t="shared" si="82"/>
        <v>0</v>
      </c>
      <c r="V313" s="26">
        <f>IF(Q313&lt;=1,0,Dashboard!$I$27/Dashboard!$I$30)</f>
        <v>0</v>
      </c>
      <c r="W313" s="28">
        <f>Q313*Dashboard!$K$27/12</f>
        <v>0</v>
      </c>
      <c r="Y313" s="59">
        <v>302</v>
      </c>
      <c r="Z313" s="67">
        <f>Dashboard!$I$28</f>
        <v>0</v>
      </c>
      <c r="AA313" s="64">
        <f>IF(Z313&lt;=1,0,Dashboard!$I$30-Y313)</f>
        <v>0</v>
      </c>
      <c r="AB313" s="64">
        <f t="shared" si="83"/>
        <v>0</v>
      </c>
      <c r="AC313" s="1">
        <f>Dashboard!$K$28</f>
        <v>2.6800000000000001E-2</v>
      </c>
      <c r="AD313" s="28">
        <f t="shared" si="84"/>
        <v>0</v>
      </c>
      <c r="AF313" s="2">
        <f t="shared" si="85"/>
        <v>42830.562713860258</v>
      </c>
      <c r="AG313" s="62">
        <f>(B313+Q313+Z313)/Dashboard!$I$25</f>
        <v>0.17132225085544103</v>
      </c>
      <c r="AH313" s="20">
        <f t="shared" si="86"/>
        <v>0</v>
      </c>
      <c r="AI313" s="20">
        <f>IF($D$2="JA",Dashboard!$K$26-$AH$11+AH313,Dashboard!$K$26)</f>
        <v>2.3800000000000002E-2</v>
      </c>
      <c r="AJ313" s="27">
        <f>Tabel2[[#This Row],[Schuldrest]]*AI313/12</f>
        <v>84.947282715822851</v>
      </c>
      <c r="AK313" s="20">
        <f>IF($D$2="JA",Dashboard!$K$27-$AH$11+AH313,Dashboard!$K$27)</f>
        <v>2.3800000000000002E-2</v>
      </c>
      <c r="AL313" s="27">
        <f t="shared" si="72"/>
        <v>0</v>
      </c>
      <c r="AM313" s="20">
        <f>IF($D$2="JA",Dashboard!$K$28-$AH$11+AH313,Dashboard!$K$28)</f>
        <v>2.3800000000000002E-2</v>
      </c>
      <c r="AN313" s="27">
        <f t="shared" si="73"/>
        <v>0</v>
      </c>
      <c r="AO313" s="63">
        <f>Tabel2[[#This Row],[Aflossing]]+V313</f>
        <v>697.52972742673035</v>
      </c>
      <c r="AP313" s="63">
        <f t="shared" si="87"/>
        <v>84.947282715822851</v>
      </c>
      <c r="AQ313" s="2">
        <f t="shared" si="74"/>
        <v>98.196971484065898</v>
      </c>
      <c r="AU313" s="20"/>
      <c r="AV313" s="20"/>
    </row>
    <row r="314" spans="1:48">
      <c r="A314" s="71">
        <v>303</v>
      </c>
      <c r="B314" s="77">
        <f t="shared" si="75"/>
        <v>42133.032986433529</v>
      </c>
      <c r="C314" s="73">
        <f>B314/Dashboard!$I$25</f>
        <v>0.1685321319457341</v>
      </c>
      <c r="D314" s="74">
        <f t="shared" si="76"/>
        <v>0</v>
      </c>
      <c r="E314" s="73">
        <f>IF($D$2="JA",Dashboard!$K$26-$D$11+D314,Dashboard!$K$26)</f>
        <v>2.3800000000000002E-2</v>
      </c>
      <c r="F314" s="72">
        <f t="shared" si="77"/>
        <v>83.563848756426509</v>
      </c>
      <c r="G314" s="72">
        <f t="shared" si="88"/>
        <v>698.91316138612672</v>
      </c>
      <c r="H314" s="72">
        <f>IFERROR(-PMT(E314^1/12,Dashboard!$I$30-A314,B314),0)</f>
        <v>782.47701014255324</v>
      </c>
      <c r="I314" s="75">
        <f t="shared" si="78"/>
        <v>782.47701014255324</v>
      </c>
      <c r="J314" s="76">
        <f t="shared" si="89"/>
        <v>43257.904330727259</v>
      </c>
      <c r="K314" s="76">
        <f>J314*Dashboard!$K$26/12</f>
        <v>96.60931967195755</v>
      </c>
      <c r="L314" s="76">
        <f t="shared" si="79"/>
        <v>712.47652290539759</v>
      </c>
      <c r="M314" s="76">
        <f>IF(H314=0,0,IFERROR(-PMT(Dashboard!$K$26^1/12,Dashboard!$I$30,Dashboard!$I$26),0))</f>
        <v>809.08584257735515</v>
      </c>
      <c r="P314" s="59">
        <v>303</v>
      </c>
      <c r="Q314" s="28">
        <f t="shared" si="80"/>
        <v>0</v>
      </c>
      <c r="R314" s="20">
        <f>Q314/Dashboard!$I$25</f>
        <v>0</v>
      </c>
      <c r="S314" s="20">
        <f t="shared" si="81"/>
        <v>0</v>
      </c>
      <c r="T314" s="20">
        <f>IF($D$2="JA",Dashboard!$K$27-$S$11+S314,Dashboard!$K$27)</f>
        <v>2.6800000000000001E-2</v>
      </c>
      <c r="U314" s="27">
        <f t="shared" si="82"/>
        <v>0</v>
      </c>
      <c r="V314" s="26">
        <f>IF(Q314&lt;=1,0,Dashboard!$I$27/Dashboard!$I$30)</f>
        <v>0</v>
      </c>
      <c r="W314" s="28">
        <f>Q314*Dashboard!$K$27/12</f>
        <v>0</v>
      </c>
      <c r="Y314" s="59">
        <v>303</v>
      </c>
      <c r="Z314" s="67">
        <f>Dashboard!$I$28</f>
        <v>0</v>
      </c>
      <c r="AA314" s="64">
        <f>IF(Z314&lt;=1,0,Dashboard!$I$30-Y314)</f>
        <v>0</v>
      </c>
      <c r="AB314" s="64">
        <f t="shared" si="83"/>
        <v>0</v>
      </c>
      <c r="AC314" s="1">
        <f>Dashboard!$K$28</f>
        <v>2.6800000000000001E-2</v>
      </c>
      <c r="AD314" s="28">
        <f t="shared" si="84"/>
        <v>0</v>
      </c>
      <c r="AF314" s="2">
        <f t="shared" si="85"/>
        <v>42133.032986433529</v>
      </c>
      <c r="AG314" s="62">
        <f>(B314+Q314+Z314)/Dashboard!$I$25</f>
        <v>0.1685321319457341</v>
      </c>
      <c r="AH314" s="20">
        <f t="shared" si="86"/>
        <v>0</v>
      </c>
      <c r="AI314" s="20">
        <f>IF($D$2="JA",Dashboard!$K$26-$AH$11+AH314,Dashboard!$K$26)</f>
        <v>2.3800000000000002E-2</v>
      </c>
      <c r="AJ314" s="27">
        <f>Tabel2[[#This Row],[Schuldrest]]*AI314/12</f>
        <v>83.563848756426509</v>
      </c>
      <c r="AK314" s="20">
        <f>IF($D$2="JA",Dashboard!$K$27-$AH$11+AH314,Dashboard!$K$27)</f>
        <v>2.3800000000000002E-2</v>
      </c>
      <c r="AL314" s="27">
        <f t="shared" si="72"/>
        <v>0</v>
      </c>
      <c r="AM314" s="20">
        <f>IF($D$2="JA",Dashboard!$K$28-$AH$11+AH314,Dashboard!$K$28)</f>
        <v>2.3800000000000002E-2</v>
      </c>
      <c r="AN314" s="27">
        <f t="shared" si="73"/>
        <v>0</v>
      </c>
      <c r="AO314" s="63">
        <f>Tabel2[[#This Row],[Aflossing]]+V314</f>
        <v>698.91316138612672</v>
      </c>
      <c r="AP314" s="63">
        <f t="shared" si="87"/>
        <v>83.563848756426509</v>
      </c>
      <c r="AQ314" s="2">
        <f t="shared" si="74"/>
        <v>96.60931967195755</v>
      </c>
      <c r="AU314" s="20"/>
      <c r="AV314" s="20"/>
    </row>
    <row r="315" spans="1:48">
      <c r="A315" s="71">
        <v>304</v>
      </c>
      <c r="B315" s="77">
        <f t="shared" si="75"/>
        <v>41434.119825047404</v>
      </c>
      <c r="C315" s="73">
        <f>B315/Dashboard!$I$25</f>
        <v>0.16573647930018962</v>
      </c>
      <c r="D315" s="74">
        <f t="shared" si="76"/>
        <v>0</v>
      </c>
      <c r="E315" s="73">
        <f>IF($D$2="JA",Dashboard!$K$26-$D$11+D315,Dashboard!$K$26)</f>
        <v>2.3800000000000002E-2</v>
      </c>
      <c r="F315" s="72">
        <f t="shared" si="77"/>
        <v>82.177670986344026</v>
      </c>
      <c r="G315" s="72">
        <f t="shared" si="88"/>
        <v>700.2993391562095</v>
      </c>
      <c r="H315" s="72">
        <f>IFERROR(-PMT(E315^1/12,Dashboard!$I$30-A315,B315),0)</f>
        <v>782.47701014255358</v>
      </c>
      <c r="I315" s="75">
        <f t="shared" si="78"/>
        <v>782.47701014255358</v>
      </c>
      <c r="J315" s="76">
        <f t="shared" si="89"/>
        <v>42545.427807821863</v>
      </c>
      <c r="K315" s="76">
        <f>J315*Dashboard!$K$26/12</f>
        <v>95.0181221041355</v>
      </c>
      <c r="L315" s="76">
        <f t="shared" si="79"/>
        <v>714.06772047321965</v>
      </c>
      <c r="M315" s="76">
        <f>IF(H315=0,0,IFERROR(-PMT(Dashboard!$K$26^1/12,Dashboard!$I$30,Dashboard!$I$26),0))</f>
        <v>809.08584257735515</v>
      </c>
      <c r="P315" s="59">
        <v>304</v>
      </c>
      <c r="Q315" s="28">
        <f t="shared" si="80"/>
        <v>0</v>
      </c>
      <c r="R315" s="20">
        <f>Q315/Dashboard!$I$25</f>
        <v>0</v>
      </c>
      <c r="S315" s="20">
        <f t="shared" si="81"/>
        <v>0</v>
      </c>
      <c r="T315" s="20">
        <f>IF($D$2="JA",Dashboard!$K$27-$S$11+S315,Dashboard!$K$27)</f>
        <v>2.6800000000000001E-2</v>
      </c>
      <c r="U315" s="27">
        <f t="shared" si="82"/>
        <v>0</v>
      </c>
      <c r="V315" s="26">
        <f>IF(Q315&lt;=1,0,Dashboard!$I$27/Dashboard!$I$30)</f>
        <v>0</v>
      </c>
      <c r="W315" s="28">
        <f>Q315*Dashboard!$K$27/12</f>
        <v>0</v>
      </c>
      <c r="Y315" s="59">
        <v>304</v>
      </c>
      <c r="Z315" s="67">
        <f>Dashboard!$I$28</f>
        <v>0</v>
      </c>
      <c r="AA315" s="64">
        <f>IF(Z315&lt;=1,0,Dashboard!$I$30-Y315)</f>
        <v>0</v>
      </c>
      <c r="AB315" s="64">
        <f t="shared" si="83"/>
        <v>0</v>
      </c>
      <c r="AC315" s="1">
        <f>Dashboard!$K$28</f>
        <v>2.6800000000000001E-2</v>
      </c>
      <c r="AD315" s="28">
        <f t="shared" si="84"/>
        <v>0</v>
      </c>
      <c r="AF315" s="2">
        <f t="shared" si="85"/>
        <v>41434.119825047404</v>
      </c>
      <c r="AG315" s="62">
        <f>(B315+Q315+Z315)/Dashboard!$I$25</f>
        <v>0.16573647930018962</v>
      </c>
      <c r="AH315" s="20">
        <f t="shared" si="86"/>
        <v>0</v>
      </c>
      <c r="AI315" s="20">
        <f>IF($D$2="JA",Dashboard!$K$26-$AH$11+AH315,Dashboard!$K$26)</f>
        <v>2.3800000000000002E-2</v>
      </c>
      <c r="AJ315" s="27">
        <f>Tabel2[[#This Row],[Schuldrest]]*AI315/12</f>
        <v>82.177670986344026</v>
      </c>
      <c r="AK315" s="20">
        <f>IF($D$2="JA",Dashboard!$K$27-$AH$11+AH315,Dashboard!$K$27)</f>
        <v>2.3800000000000002E-2</v>
      </c>
      <c r="AL315" s="27">
        <f t="shared" si="72"/>
        <v>0</v>
      </c>
      <c r="AM315" s="20">
        <f>IF($D$2="JA",Dashboard!$K$28-$AH$11+AH315,Dashboard!$K$28)</f>
        <v>2.3800000000000002E-2</v>
      </c>
      <c r="AN315" s="27">
        <f t="shared" si="73"/>
        <v>0</v>
      </c>
      <c r="AO315" s="63">
        <f>Tabel2[[#This Row],[Aflossing]]+V315</f>
        <v>700.2993391562095</v>
      </c>
      <c r="AP315" s="63">
        <f t="shared" si="87"/>
        <v>82.177670986344026</v>
      </c>
      <c r="AQ315" s="2">
        <f t="shared" si="74"/>
        <v>95.0181221041355</v>
      </c>
      <c r="AU315" s="20"/>
      <c r="AV315" s="20"/>
    </row>
    <row r="316" spans="1:48">
      <c r="A316" s="71">
        <v>305</v>
      </c>
      <c r="B316" s="77">
        <f t="shared" si="75"/>
        <v>40733.820485891192</v>
      </c>
      <c r="C316" s="73">
        <f>B316/Dashboard!$I$25</f>
        <v>0.16293528194356477</v>
      </c>
      <c r="D316" s="74">
        <f t="shared" si="76"/>
        <v>0</v>
      </c>
      <c r="E316" s="73">
        <f>IF($D$2="JA",Dashboard!$K$26-$D$11+D316,Dashboard!$K$26)</f>
        <v>2.3800000000000002E-2</v>
      </c>
      <c r="F316" s="72">
        <f t="shared" si="77"/>
        <v>80.788743963684212</v>
      </c>
      <c r="G316" s="72">
        <f t="shared" si="88"/>
        <v>701.68826617886918</v>
      </c>
      <c r="H316" s="72">
        <f>IFERROR(-PMT(E316^1/12,Dashboard!$I$30-A316,B316),0)</f>
        <v>782.47701014255335</v>
      </c>
      <c r="I316" s="75">
        <f t="shared" si="78"/>
        <v>782.47701014255335</v>
      </c>
      <c r="J316" s="76">
        <f t="shared" si="89"/>
        <v>41831.360087348643</v>
      </c>
      <c r="K316" s="76">
        <f>J316*Dashboard!$K$26/12</f>
        <v>93.423370861745298</v>
      </c>
      <c r="L316" s="76">
        <f t="shared" si="79"/>
        <v>715.66247171560985</v>
      </c>
      <c r="M316" s="76">
        <f>IF(H316=0,0,IFERROR(-PMT(Dashboard!$K$26^1/12,Dashboard!$I$30,Dashboard!$I$26),0))</f>
        <v>809.08584257735515</v>
      </c>
      <c r="P316" s="59">
        <v>305</v>
      </c>
      <c r="Q316" s="28">
        <f t="shared" si="80"/>
        <v>0</v>
      </c>
      <c r="R316" s="20">
        <f>Q316/Dashboard!$I$25</f>
        <v>0</v>
      </c>
      <c r="S316" s="20">
        <f t="shared" si="81"/>
        <v>0</v>
      </c>
      <c r="T316" s="20">
        <f>IF($D$2="JA",Dashboard!$K$27-$S$11+S316,Dashboard!$K$27)</f>
        <v>2.6800000000000001E-2</v>
      </c>
      <c r="U316" s="27">
        <f t="shared" si="82"/>
        <v>0</v>
      </c>
      <c r="V316" s="26">
        <f>IF(Q316&lt;=1,0,Dashboard!$I$27/Dashboard!$I$30)</f>
        <v>0</v>
      </c>
      <c r="W316" s="28">
        <f>Q316*Dashboard!$K$27/12</f>
        <v>0</v>
      </c>
      <c r="Y316" s="59">
        <v>305</v>
      </c>
      <c r="Z316" s="67">
        <f>Dashboard!$I$28</f>
        <v>0</v>
      </c>
      <c r="AA316" s="64">
        <f>IF(Z316&lt;=1,0,Dashboard!$I$30-Y316)</f>
        <v>0</v>
      </c>
      <c r="AB316" s="64">
        <f t="shared" si="83"/>
        <v>0</v>
      </c>
      <c r="AC316" s="1">
        <f>Dashboard!$K$28</f>
        <v>2.6800000000000001E-2</v>
      </c>
      <c r="AD316" s="28">
        <f t="shared" si="84"/>
        <v>0</v>
      </c>
      <c r="AF316" s="2">
        <f t="shared" si="85"/>
        <v>40733.820485891192</v>
      </c>
      <c r="AG316" s="62">
        <f>(B316+Q316+Z316)/Dashboard!$I$25</f>
        <v>0.16293528194356477</v>
      </c>
      <c r="AH316" s="20">
        <f t="shared" si="86"/>
        <v>0</v>
      </c>
      <c r="AI316" s="20">
        <f>IF($D$2="JA",Dashboard!$K$26-$AH$11+AH316,Dashboard!$K$26)</f>
        <v>2.3800000000000002E-2</v>
      </c>
      <c r="AJ316" s="27">
        <f>Tabel2[[#This Row],[Schuldrest]]*AI316/12</f>
        <v>80.788743963684212</v>
      </c>
      <c r="AK316" s="20">
        <f>IF($D$2="JA",Dashboard!$K$27-$AH$11+AH316,Dashboard!$K$27)</f>
        <v>2.3800000000000002E-2</v>
      </c>
      <c r="AL316" s="27">
        <f t="shared" si="72"/>
        <v>0</v>
      </c>
      <c r="AM316" s="20">
        <f>IF($D$2="JA",Dashboard!$K$28-$AH$11+AH316,Dashboard!$K$28)</f>
        <v>2.3800000000000002E-2</v>
      </c>
      <c r="AN316" s="27">
        <f t="shared" si="73"/>
        <v>0</v>
      </c>
      <c r="AO316" s="63">
        <f>Tabel2[[#This Row],[Aflossing]]+V316</f>
        <v>701.68826617886918</v>
      </c>
      <c r="AP316" s="63">
        <f t="shared" si="87"/>
        <v>80.788743963684212</v>
      </c>
      <c r="AQ316" s="2">
        <f t="shared" si="74"/>
        <v>93.423370861745298</v>
      </c>
      <c r="AU316" s="20"/>
      <c r="AV316" s="20"/>
    </row>
    <row r="317" spans="1:48">
      <c r="A317" s="71">
        <v>306</v>
      </c>
      <c r="B317" s="77">
        <f t="shared" si="75"/>
        <v>40032.132219712323</v>
      </c>
      <c r="C317" s="73">
        <f>B317/Dashboard!$I$25</f>
        <v>0.16012852887884929</v>
      </c>
      <c r="D317" s="74">
        <f t="shared" si="76"/>
        <v>0</v>
      </c>
      <c r="E317" s="73">
        <f>IF($D$2="JA",Dashboard!$K$26-$D$11+D317,Dashboard!$K$26)</f>
        <v>2.3800000000000002E-2</v>
      </c>
      <c r="F317" s="72">
        <f t="shared" si="77"/>
        <v>79.397062235762775</v>
      </c>
      <c r="G317" s="72">
        <f t="shared" si="88"/>
        <v>703.07994790679061</v>
      </c>
      <c r="H317" s="72">
        <f>IFERROR(-PMT(E317^1/12,Dashboard!$I$30-A317,B317),0)</f>
        <v>782.47701014255335</v>
      </c>
      <c r="I317" s="75">
        <f t="shared" si="78"/>
        <v>782.47701014255335</v>
      </c>
      <c r="J317" s="76">
        <f t="shared" si="89"/>
        <v>41115.697615633035</v>
      </c>
      <c r="K317" s="76">
        <f>J317*Dashboard!$K$26/12</f>
        <v>91.825058008247126</v>
      </c>
      <c r="L317" s="76">
        <f t="shared" si="79"/>
        <v>717.26078456910807</v>
      </c>
      <c r="M317" s="76">
        <f>IF(H317=0,0,IFERROR(-PMT(Dashboard!$K$26^1/12,Dashboard!$I$30,Dashboard!$I$26),0))</f>
        <v>809.08584257735515</v>
      </c>
      <c r="P317" s="59">
        <v>306</v>
      </c>
      <c r="Q317" s="28">
        <f t="shared" si="80"/>
        <v>0</v>
      </c>
      <c r="R317" s="20">
        <f>Q317/Dashboard!$I$25</f>
        <v>0</v>
      </c>
      <c r="S317" s="20">
        <f t="shared" si="81"/>
        <v>0</v>
      </c>
      <c r="T317" s="20">
        <f>IF($D$2="JA",Dashboard!$K$27-$S$11+S317,Dashboard!$K$27)</f>
        <v>2.6800000000000001E-2</v>
      </c>
      <c r="U317" s="27">
        <f t="shared" si="82"/>
        <v>0</v>
      </c>
      <c r="V317" s="26">
        <f>IF(Q317&lt;=1,0,Dashboard!$I$27/Dashboard!$I$30)</f>
        <v>0</v>
      </c>
      <c r="W317" s="28">
        <f>Q317*Dashboard!$K$27/12</f>
        <v>0</v>
      </c>
      <c r="Y317" s="59">
        <v>306</v>
      </c>
      <c r="Z317" s="67">
        <f>Dashboard!$I$28</f>
        <v>0</v>
      </c>
      <c r="AA317" s="64">
        <f>IF(Z317&lt;=1,0,Dashboard!$I$30-Y317)</f>
        <v>0</v>
      </c>
      <c r="AB317" s="64">
        <f t="shared" si="83"/>
        <v>0</v>
      </c>
      <c r="AC317" s="1">
        <f>Dashboard!$K$28</f>
        <v>2.6800000000000001E-2</v>
      </c>
      <c r="AD317" s="28">
        <f t="shared" si="84"/>
        <v>0</v>
      </c>
      <c r="AF317" s="2">
        <f t="shared" si="85"/>
        <v>40032.132219712323</v>
      </c>
      <c r="AG317" s="62">
        <f>(B317+Q317+Z317)/Dashboard!$I$25</f>
        <v>0.16012852887884929</v>
      </c>
      <c r="AH317" s="20">
        <f t="shared" si="86"/>
        <v>0</v>
      </c>
      <c r="AI317" s="20">
        <f>IF($D$2="JA",Dashboard!$K$26-$AH$11+AH317,Dashboard!$K$26)</f>
        <v>2.3800000000000002E-2</v>
      </c>
      <c r="AJ317" s="27">
        <f>Tabel2[[#This Row],[Schuldrest]]*AI317/12</f>
        <v>79.397062235762775</v>
      </c>
      <c r="AK317" s="20">
        <f>IF($D$2="JA",Dashboard!$K$27-$AH$11+AH317,Dashboard!$K$27)</f>
        <v>2.3800000000000002E-2</v>
      </c>
      <c r="AL317" s="27">
        <f t="shared" si="72"/>
        <v>0</v>
      </c>
      <c r="AM317" s="20">
        <f>IF($D$2="JA",Dashboard!$K$28-$AH$11+AH317,Dashboard!$K$28)</f>
        <v>2.3800000000000002E-2</v>
      </c>
      <c r="AN317" s="27">
        <f t="shared" si="73"/>
        <v>0</v>
      </c>
      <c r="AO317" s="63">
        <f>Tabel2[[#This Row],[Aflossing]]+V317</f>
        <v>703.07994790679061</v>
      </c>
      <c r="AP317" s="63">
        <f t="shared" si="87"/>
        <v>79.397062235762775</v>
      </c>
      <c r="AQ317" s="2">
        <f t="shared" si="74"/>
        <v>91.825058008247126</v>
      </c>
      <c r="AU317" s="20"/>
      <c r="AV317" s="20"/>
    </row>
    <row r="318" spans="1:48">
      <c r="A318" s="71">
        <v>307</v>
      </c>
      <c r="B318" s="77">
        <f t="shared" si="75"/>
        <v>39329.052271805529</v>
      </c>
      <c r="C318" s="73">
        <f>B318/Dashboard!$I$25</f>
        <v>0.1573162090872221</v>
      </c>
      <c r="D318" s="74">
        <f t="shared" si="76"/>
        <v>0</v>
      </c>
      <c r="E318" s="73">
        <f>IF($D$2="JA",Dashboard!$K$26-$D$11+D318,Dashboard!$K$26)</f>
        <v>2.3800000000000002E-2</v>
      </c>
      <c r="F318" s="72">
        <f t="shared" si="77"/>
        <v>78.002620339080963</v>
      </c>
      <c r="G318" s="72">
        <f t="shared" si="88"/>
        <v>704.47438980347226</v>
      </c>
      <c r="H318" s="72">
        <f>IFERROR(-PMT(E318^1/12,Dashboard!$I$30-A318,B318),0)</f>
        <v>782.47701014255324</v>
      </c>
      <c r="I318" s="75">
        <f t="shared" si="78"/>
        <v>782.47701014255324</v>
      </c>
      <c r="J318" s="76">
        <f t="shared" si="89"/>
        <v>40398.436831063926</v>
      </c>
      <c r="K318" s="76">
        <f>J318*Dashboard!$K$26/12</f>
        <v>90.223175589376112</v>
      </c>
      <c r="L318" s="76">
        <f t="shared" si="79"/>
        <v>718.86266698797908</v>
      </c>
      <c r="M318" s="76">
        <f>IF(H318=0,0,IFERROR(-PMT(Dashboard!$K$26^1/12,Dashboard!$I$30,Dashboard!$I$26),0))</f>
        <v>809.08584257735515</v>
      </c>
      <c r="P318" s="59">
        <v>307</v>
      </c>
      <c r="Q318" s="28">
        <f t="shared" si="80"/>
        <v>0</v>
      </c>
      <c r="R318" s="20">
        <f>Q318/Dashboard!$I$25</f>
        <v>0</v>
      </c>
      <c r="S318" s="20">
        <f t="shared" si="81"/>
        <v>0</v>
      </c>
      <c r="T318" s="20">
        <f>IF($D$2="JA",Dashboard!$K$27-$S$11+S318,Dashboard!$K$27)</f>
        <v>2.6800000000000001E-2</v>
      </c>
      <c r="U318" s="27">
        <f t="shared" si="82"/>
        <v>0</v>
      </c>
      <c r="V318" s="26">
        <f>IF(Q318&lt;=1,0,Dashboard!$I$27/Dashboard!$I$30)</f>
        <v>0</v>
      </c>
      <c r="W318" s="28">
        <f>Q318*Dashboard!$K$27/12</f>
        <v>0</v>
      </c>
      <c r="Y318" s="59">
        <v>307</v>
      </c>
      <c r="Z318" s="67">
        <f>Dashboard!$I$28</f>
        <v>0</v>
      </c>
      <c r="AA318" s="64">
        <f>IF(Z318&lt;=1,0,Dashboard!$I$30-Y318)</f>
        <v>0</v>
      </c>
      <c r="AB318" s="64">
        <f t="shared" si="83"/>
        <v>0</v>
      </c>
      <c r="AC318" s="1">
        <f>Dashboard!$K$28</f>
        <v>2.6800000000000001E-2</v>
      </c>
      <c r="AD318" s="28">
        <f t="shared" si="84"/>
        <v>0</v>
      </c>
      <c r="AF318" s="2">
        <f t="shared" si="85"/>
        <v>39329.052271805529</v>
      </c>
      <c r="AG318" s="62">
        <f>(B318+Q318+Z318)/Dashboard!$I$25</f>
        <v>0.1573162090872221</v>
      </c>
      <c r="AH318" s="20">
        <f t="shared" si="86"/>
        <v>0</v>
      </c>
      <c r="AI318" s="20">
        <f>IF($D$2="JA",Dashboard!$K$26-$AH$11+AH318,Dashboard!$K$26)</f>
        <v>2.3800000000000002E-2</v>
      </c>
      <c r="AJ318" s="27">
        <f>Tabel2[[#This Row],[Schuldrest]]*AI318/12</f>
        <v>78.002620339080963</v>
      </c>
      <c r="AK318" s="20">
        <f>IF($D$2="JA",Dashboard!$K$27-$AH$11+AH318,Dashboard!$K$27)</f>
        <v>2.3800000000000002E-2</v>
      </c>
      <c r="AL318" s="27">
        <f t="shared" si="72"/>
        <v>0</v>
      </c>
      <c r="AM318" s="20">
        <f>IF($D$2="JA",Dashboard!$K$28-$AH$11+AH318,Dashboard!$K$28)</f>
        <v>2.3800000000000002E-2</v>
      </c>
      <c r="AN318" s="27">
        <f t="shared" si="73"/>
        <v>0</v>
      </c>
      <c r="AO318" s="63">
        <f>Tabel2[[#This Row],[Aflossing]]+V318</f>
        <v>704.47438980347226</v>
      </c>
      <c r="AP318" s="63">
        <f t="shared" si="87"/>
        <v>78.002620339080963</v>
      </c>
      <c r="AQ318" s="2">
        <f t="shared" si="74"/>
        <v>90.223175589376112</v>
      </c>
      <c r="AU318" s="20"/>
      <c r="AV318" s="20"/>
    </row>
    <row r="319" spans="1:48">
      <c r="A319" s="71">
        <v>308</v>
      </c>
      <c r="B319" s="77">
        <f t="shared" si="75"/>
        <v>38624.577882002057</v>
      </c>
      <c r="C319" s="73">
        <f>B319/Dashboard!$I$25</f>
        <v>0.15449831152800822</v>
      </c>
      <c r="D319" s="74">
        <f t="shared" si="76"/>
        <v>0</v>
      </c>
      <c r="E319" s="73">
        <f>IF($D$2="JA",Dashboard!$K$26-$D$11+D319,Dashboard!$K$26)</f>
        <v>2.3800000000000002E-2</v>
      </c>
      <c r="F319" s="72">
        <f t="shared" si="77"/>
        <v>76.605412799304091</v>
      </c>
      <c r="G319" s="72">
        <f t="shared" si="88"/>
        <v>705.87159734324916</v>
      </c>
      <c r="H319" s="72">
        <f>IFERROR(-PMT(E319^1/12,Dashboard!$I$30-A319,B319),0)</f>
        <v>782.47701014255324</v>
      </c>
      <c r="I319" s="75">
        <f t="shared" si="78"/>
        <v>782.47701014255324</v>
      </c>
      <c r="J319" s="76">
        <f t="shared" si="89"/>
        <v>39679.574164075944</v>
      </c>
      <c r="K319" s="76">
        <f>J319*Dashboard!$K$26/12</f>
        <v>88.617715633102947</v>
      </c>
      <c r="L319" s="76">
        <f t="shared" si="79"/>
        <v>720.46812694425216</v>
      </c>
      <c r="M319" s="76">
        <f>IF(H319=0,0,IFERROR(-PMT(Dashboard!$K$26^1/12,Dashboard!$I$30,Dashboard!$I$26),0))</f>
        <v>809.08584257735515</v>
      </c>
      <c r="P319" s="59">
        <v>308</v>
      </c>
      <c r="Q319" s="28">
        <f t="shared" si="80"/>
        <v>0</v>
      </c>
      <c r="R319" s="20">
        <f>Q319/Dashboard!$I$25</f>
        <v>0</v>
      </c>
      <c r="S319" s="20">
        <f t="shared" si="81"/>
        <v>0</v>
      </c>
      <c r="T319" s="20">
        <f>IF($D$2="JA",Dashboard!$K$27-$S$11+S319,Dashboard!$K$27)</f>
        <v>2.6800000000000001E-2</v>
      </c>
      <c r="U319" s="27">
        <f t="shared" si="82"/>
        <v>0</v>
      </c>
      <c r="V319" s="26">
        <f>IF(Q319&lt;=1,0,Dashboard!$I$27/Dashboard!$I$30)</f>
        <v>0</v>
      </c>
      <c r="W319" s="28">
        <f>Q319*Dashboard!$K$27/12</f>
        <v>0</v>
      </c>
      <c r="Y319" s="59">
        <v>308</v>
      </c>
      <c r="Z319" s="67">
        <f>Dashboard!$I$28</f>
        <v>0</v>
      </c>
      <c r="AA319" s="64">
        <f>IF(Z319&lt;=1,0,Dashboard!$I$30-Y319)</f>
        <v>0</v>
      </c>
      <c r="AB319" s="64">
        <f t="shared" si="83"/>
        <v>0</v>
      </c>
      <c r="AC319" s="1">
        <f>Dashboard!$K$28</f>
        <v>2.6800000000000001E-2</v>
      </c>
      <c r="AD319" s="28">
        <f t="shared" si="84"/>
        <v>0</v>
      </c>
      <c r="AF319" s="2">
        <f t="shared" si="85"/>
        <v>38624.577882002057</v>
      </c>
      <c r="AG319" s="62">
        <f>(B319+Q319+Z319)/Dashboard!$I$25</f>
        <v>0.15449831152800822</v>
      </c>
      <c r="AH319" s="20">
        <f t="shared" si="86"/>
        <v>0</v>
      </c>
      <c r="AI319" s="20">
        <f>IF($D$2="JA",Dashboard!$K$26-$AH$11+AH319,Dashboard!$K$26)</f>
        <v>2.3800000000000002E-2</v>
      </c>
      <c r="AJ319" s="27">
        <f>Tabel2[[#This Row],[Schuldrest]]*AI319/12</f>
        <v>76.605412799304091</v>
      </c>
      <c r="AK319" s="20">
        <f>IF($D$2="JA",Dashboard!$K$27-$AH$11+AH319,Dashboard!$K$27)</f>
        <v>2.3800000000000002E-2</v>
      </c>
      <c r="AL319" s="27">
        <f t="shared" si="72"/>
        <v>0</v>
      </c>
      <c r="AM319" s="20">
        <f>IF($D$2="JA",Dashboard!$K$28-$AH$11+AH319,Dashboard!$K$28)</f>
        <v>2.3800000000000002E-2</v>
      </c>
      <c r="AN319" s="27">
        <f t="shared" si="73"/>
        <v>0</v>
      </c>
      <c r="AO319" s="63">
        <f>Tabel2[[#This Row],[Aflossing]]+V319</f>
        <v>705.87159734324916</v>
      </c>
      <c r="AP319" s="63">
        <f t="shared" si="87"/>
        <v>76.605412799304091</v>
      </c>
      <c r="AQ319" s="2">
        <f t="shared" si="74"/>
        <v>88.617715633102947</v>
      </c>
      <c r="AU319" s="20"/>
      <c r="AV319" s="20"/>
    </row>
    <row r="320" spans="1:48">
      <c r="A320" s="71">
        <v>309</v>
      </c>
      <c r="B320" s="77">
        <f t="shared" si="75"/>
        <v>37918.706284658809</v>
      </c>
      <c r="C320" s="73">
        <f>B320/Dashboard!$I$25</f>
        <v>0.15167482513863523</v>
      </c>
      <c r="D320" s="74">
        <f t="shared" si="76"/>
        <v>0</v>
      </c>
      <c r="E320" s="73">
        <f>IF($D$2="JA",Dashboard!$K$26-$D$11+D320,Dashboard!$K$26)</f>
        <v>2.3800000000000002E-2</v>
      </c>
      <c r="F320" s="72">
        <f t="shared" si="77"/>
        <v>75.205434131239983</v>
      </c>
      <c r="G320" s="72">
        <f t="shared" si="88"/>
        <v>707.2715760113133</v>
      </c>
      <c r="H320" s="72">
        <f>IFERROR(-PMT(E320^1/12,Dashboard!$I$30-A320,B320),0)</f>
        <v>782.47701014255324</v>
      </c>
      <c r="I320" s="75">
        <f t="shared" si="78"/>
        <v>782.47701014255324</v>
      </c>
      <c r="J320" s="76">
        <f t="shared" si="89"/>
        <v>38959.106037131693</v>
      </c>
      <c r="K320" s="76">
        <f>J320*Dashboard!$K$26/12</f>
        <v>87.008670149594124</v>
      </c>
      <c r="L320" s="76">
        <f t="shared" si="79"/>
        <v>722.07717242776107</v>
      </c>
      <c r="M320" s="76">
        <f>IF(H320=0,0,IFERROR(-PMT(Dashboard!$K$26^1/12,Dashboard!$I$30,Dashboard!$I$26),0))</f>
        <v>809.08584257735515</v>
      </c>
      <c r="P320" s="59">
        <v>309</v>
      </c>
      <c r="Q320" s="28">
        <f t="shared" si="80"/>
        <v>0</v>
      </c>
      <c r="R320" s="20">
        <f>Q320/Dashboard!$I$25</f>
        <v>0</v>
      </c>
      <c r="S320" s="20">
        <f t="shared" si="81"/>
        <v>0</v>
      </c>
      <c r="T320" s="20">
        <f>IF($D$2="JA",Dashboard!$K$27-$S$11+S320,Dashboard!$K$27)</f>
        <v>2.6800000000000001E-2</v>
      </c>
      <c r="U320" s="27">
        <f t="shared" si="82"/>
        <v>0</v>
      </c>
      <c r="V320" s="26">
        <f>IF(Q320&lt;=1,0,Dashboard!$I$27/Dashboard!$I$30)</f>
        <v>0</v>
      </c>
      <c r="W320" s="28">
        <f>Q320*Dashboard!$K$27/12</f>
        <v>0</v>
      </c>
      <c r="Y320" s="59">
        <v>309</v>
      </c>
      <c r="Z320" s="67">
        <f>Dashboard!$I$28</f>
        <v>0</v>
      </c>
      <c r="AA320" s="64">
        <f>IF(Z320&lt;=1,0,Dashboard!$I$30-Y320)</f>
        <v>0</v>
      </c>
      <c r="AB320" s="64">
        <f t="shared" si="83"/>
        <v>0</v>
      </c>
      <c r="AC320" s="1">
        <f>Dashboard!$K$28</f>
        <v>2.6800000000000001E-2</v>
      </c>
      <c r="AD320" s="28">
        <f t="shared" si="84"/>
        <v>0</v>
      </c>
      <c r="AF320" s="2">
        <f t="shared" si="85"/>
        <v>37918.706284658809</v>
      </c>
      <c r="AG320" s="62">
        <f>(B320+Q320+Z320)/Dashboard!$I$25</f>
        <v>0.15167482513863523</v>
      </c>
      <c r="AH320" s="20">
        <f t="shared" si="86"/>
        <v>0</v>
      </c>
      <c r="AI320" s="20">
        <f>IF($D$2="JA",Dashboard!$K$26-$AH$11+AH320,Dashboard!$K$26)</f>
        <v>2.3800000000000002E-2</v>
      </c>
      <c r="AJ320" s="27">
        <f>Tabel2[[#This Row],[Schuldrest]]*AI320/12</f>
        <v>75.205434131239983</v>
      </c>
      <c r="AK320" s="20">
        <f>IF($D$2="JA",Dashboard!$K$27-$AH$11+AH320,Dashboard!$K$27)</f>
        <v>2.3800000000000002E-2</v>
      </c>
      <c r="AL320" s="27">
        <f t="shared" si="72"/>
        <v>0</v>
      </c>
      <c r="AM320" s="20">
        <f>IF($D$2="JA",Dashboard!$K$28-$AH$11+AH320,Dashboard!$K$28)</f>
        <v>2.3800000000000002E-2</v>
      </c>
      <c r="AN320" s="27">
        <f t="shared" si="73"/>
        <v>0</v>
      </c>
      <c r="AO320" s="63">
        <f>Tabel2[[#This Row],[Aflossing]]+V320</f>
        <v>707.2715760113133</v>
      </c>
      <c r="AP320" s="63">
        <f t="shared" si="87"/>
        <v>75.205434131239983</v>
      </c>
      <c r="AQ320" s="2">
        <f t="shared" si="74"/>
        <v>87.008670149594124</v>
      </c>
      <c r="AU320" s="20"/>
      <c r="AV320" s="20"/>
    </row>
    <row r="321" spans="1:48">
      <c r="A321" s="71">
        <v>310</v>
      </c>
      <c r="B321" s="77">
        <f t="shared" si="75"/>
        <v>37211.434708647495</v>
      </c>
      <c r="C321" s="73">
        <f>B321/Dashboard!$I$25</f>
        <v>0.14884573883458999</v>
      </c>
      <c r="D321" s="74">
        <f t="shared" si="76"/>
        <v>0</v>
      </c>
      <c r="E321" s="73">
        <f>IF($D$2="JA",Dashboard!$K$26-$D$11+D321,Dashboard!$K$26)</f>
        <v>2.3800000000000002E-2</v>
      </c>
      <c r="F321" s="72">
        <f t="shared" si="77"/>
        <v>73.802678838817542</v>
      </c>
      <c r="G321" s="72">
        <f t="shared" si="88"/>
        <v>708.67433130373581</v>
      </c>
      <c r="H321" s="72">
        <f>IFERROR(-PMT(E321^1/12,Dashboard!$I$30-A321,B321),0)</f>
        <v>782.47701014255335</v>
      </c>
      <c r="I321" s="75">
        <f t="shared" si="78"/>
        <v>782.47701014255335</v>
      </c>
      <c r="J321" s="76">
        <f t="shared" si="89"/>
        <v>38237.028864703934</v>
      </c>
      <c r="K321" s="76">
        <f>J321*Dashboard!$K$26/12</f>
        <v>85.396031131172109</v>
      </c>
      <c r="L321" s="76">
        <f t="shared" si="79"/>
        <v>723.68981144618306</v>
      </c>
      <c r="M321" s="76">
        <f>IF(H321=0,0,IFERROR(-PMT(Dashboard!$K$26^1/12,Dashboard!$I$30,Dashboard!$I$26),0))</f>
        <v>809.08584257735515</v>
      </c>
      <c r="P321" s="59">
        <v>310</v>
      </c>
      <c r="Q321" s="28">
        <f t="shared" si="80"/>
        <v>0</v>
      </c>
      <c r="R321" s="20">
        <f>Q321/Dashboard!$I$25</f>
        <v>0</v>
      </c>
      <c r="S321" s="20">
        <f t="shared" si="81"/>
        <v>0</v>
      </c>
      <c r="T321" s="20">
        <f>IF($D$2="JA",Dashboard!$K$27-$S$11+S321,Dashboard!$K$27)</f>
        <v>2.6800000000000001E-2</v>
      </c>
      <c r="U321" s="27">
        <f t="shared" si="82"/>
        <v>0</v>
      </c>
      <c r="V321" s="26">
        <f>IF(Q321&lt;=1,0,Dashboard!$I$27/Dashboard!$I$30)</f>
        <v>0</v>
      </c>
      <c r="W321" s="28">
        <f>Q321*Dashboard!$K$27/12</f>
        <v>0</v>
      </c>
      <c r="Y321" s="59">
        <v>310</v>
      </c>
      <c r="Z321" s="67">
        <f>Dashboard!$I$28</f>
        <v>0</v>
      </c>
      <c r="AA321" s="64">
        <f>IF(Z321&lt;=1,0,Dashboard!$I$30-Y321)</f>
        <v>0</v>
      </c>
      <c r="AB321" s="64">
        <f t="shared" si="83"/>
        <v>0</v>
      </c>
      <c r="AC321" s="1">
        <f>Dashboard!$K$28</f>
        <v>2.6800000000000001E-2</v>
      </c>
      <c r="AD321" s="28">
        <f t="shared" si="84"/>
        <v>0</v>
      </c>
      <c r="AF321" s="2">
        <f t="shared" si="85"/>
        <v>37211.434708647495</v>
      </c>
      <c r="AG321" s="62">
        <f>(B321+Q321+Z321)/Dashboard!$I$25</f>
        <v>0.14884573883458999</v>
      </c>
      <c r="AH321" s="20">
        <f t="shared" si="86"/>
        <v>0</v>
      </c>
      <c r="AI321" s="20">
        <f>IF($D$2="JA",Dashboard!$K$26-$AH$11+AH321,Dashboard!$K$26)</f>
        <v>2.3800000000000002E-2</v>
      </c>
      <c r="AJ321" s="27">
        <f>Tabel2[[#This Row],[Schuldrest]]*AI321/12</f>
        <v>73.802678838817542</v>
      </c>
      <c r="AK321" s="20">
        <f>IF($D$2="JA",Dashboard!$K$27-$AH$11+AH321,Dashboard!$K$27)</f>
        <v>2.3800000000000002E-2</v>
      </c>
      <c r="AL321" s="27">
        <f t="shared" si="72"/>
        <v>0</v>
      </c>
      <c r="AM321" s="20">
        <f>IF($D$2="JA",Dashboard!$K$28-$AH$11+AH321,Dashboard!$K$28)</f>
        <v>2.3800000000000002E-2</v>
      </c>
      <c r="AN321" s="27">
        <f t="shared" si="73"/>
        <v>0</v>
      </c>
      <c r="AO321" s="63">
        <f>Tabel2[[#This Row],[Aflossing]]+V321</f>
        <v>708.67433130373581</v>
      </c>
      <c r="AP321" s="63">
        <f t="shared" si="87"/>
        <v>73.802678838817542</v>
      </c>
      <c r="AQ321" s="2">
        <f t="shared" si="74"/>
        <v>85.396031131172109</v>
      </c>
      <c r="AU321" s="20"/>
      <c r="AV321" s="20"/>
    </row>
    <row r="322" spans="1:48">
      <c r="A322" s="71">
        <v>311</v>
      </c>
      <c r="B322" s="77">
        <f t="shared" si="75"/>
        <v>36502.760377343759</v>
      </c>
      <c r="C322" s="73">
        <f>B322/Dashboard!$I$25</f>
        <v>0.14601104150937502</v>
      </c>
      <c r="D322" s="74">
        <f t="shared" si="76"/>
        <v>0</v>
      </c>
      <c r="E322" s="73">
        <f>IF($D$2="JA",Dashboard!$K$26-$D$11+D322,Dashboard!$K$26)</f>
        <v>2.3800000000000002E-2</v>
      </c>
      <c r="F322" s="72">
        <f t="shared" si="77"/>
        <v>72.397141415065121</v>
      </c>
      <c r="G322" s="72">
        <f t="shared" si="88"/>
        <v>710.07986872748802</v>
      </c>
      <c r="H322" s="72">
        <f>IFERROR(-PMT(E322^1/12,Dashboard!$I$30-A322,B322),0)</f>
        <v>782.47701014255313</v>
      </c>
      <c r="I322" s="75">
        <f t="shared" si="78"/>
        <v>782.47701014255313</v>
      </c>
      <c r="J322" s="76">
        <f t="shared" si="89"/>
        <v>37513.339053257754</v>
      </c>
      <c r="K322" s="76">
        <f>J322*Dashboard!$K$26/12</f>
        <v>83.779790552275657</v>
      </c>
      <c r="L322" s="76">
        <f t="shared" si="79"/>
        <v>725.30605202507945</v>
      </c>
      <c r="M322" s="76">
        <f>IF(H322=0,0,IFERROR(-PMT(Dashboard!$K$26^1/12,Dashboard!$I$30,Dashboard!$I$26),0))</f>
        <v>809.08584257735515</v>
      </c>
      <c r="P322" s="59">
        <v>311</v>
      </c>
      <c r="Q322" s="28">
        <f t="shared" si="80"/>
        <v>0</v>
      </c>
      <c r="R322" s="20">
        <f>Q322/Dashboard!$I$25</f>
        <v>0</v>
      </c>
      <c r="S322" s="20">
        <f t="shared" si="81"/>
        <v>0</v>
      </c>
      <c r="T322" s="20">
        <f>IF($D$2="JA",Dashboard!$K$27-$S$11+S322,Dashboard!$K$27)</f>
        <v>2.6800000000000001E-2</v>
      </c>
      <c r="U322" s="27">
        <f t="shared" si="82"/>
        <v>0</v>
      </c>
      <c r="V322" s="26">
        <f>IF(Q322&lt;=1,0,Dashboard!$I$27/Dashboard!$I$30)</f>
        <v>0</v>
      </c>
      <c r="W322" s="28">
        <f>Q322*Dashboard!$K$27/12</f>
        <v>0</v>
      </c>
      <c r="Y322" s="59">
        <v>311</v>
      </c>
      <c r="Z322" s="67">
        <f>Dashboard!$I$28</f>
        <v>0</v>
      </c>
      <c r="AA322" s="64">
        <f>IF(Z322&lt;=1,0,Dashboard!$I$30-Y322)</f>
        <v>0</v>
      </c>
      <c r="AB322" s="64">
        <f t="shared" si="83"/>
        <v>0</v>
      </c>
      <c r="AC322" s="1">
        <f>Dashboard!$K$28</f>
        <v>2.6800000000000001E-2</v>
      </c>
      <c r="AD322" s="28">
        <f t="shared" si="84"/>
        <v>0</v>
      </c>
      <c r="AF322" s="2">
        <f t="shared" si="85"/>
        <v>36502.760377343759</v>
      </c>
      <c r="AG322" s="62">
        <f>(B322+Q322+Z322)/Dashboard!$I$25</f>
        <v>0.14601104150937502</v>
      </c>
      <c r="AH322" s="20">
        <f t="shared" si="86"/>
        <v>0</v>
      </c>
      <c r="AI322" s="20">
        <f>IF($D$2="JA",Dashboard!$K$26-$AH$11+AH322,Dashboard!$K$26)</f>
        <v>2.3800000000000002E-2</v>
      </c>
      <c r="AJ322" s="27">
        <f>Tabel2[[#This Row],[Schuldrest]]*AI322/12</f>
        <v>72.397141415065121</v>
      </c>
      <c r="AK322" s="20">
        <f>IF($D$2="JA",Dashboard!$K$27-$AH$11+AH322,Dashboard!$K$27)</f>
        <v>2.3800000000000002E-2</v>
      </c>
      <c r="AL322" s="27">
        <f t="shared" si="72"/>
        <v>0</v>
      </c>
      <c r="AM322" s="20">
        <f>IF($D$2="JA",Dashboard!$K$28-$AH$11+AH322,Dashboard!$K$28)</f>
        <v>2.3800000000000002E-2</v>
      </c>
      <c r="AN322" s="27">
        <f t="shared" si="73"/>
        <v>0</v>
      </c>
      <c r="AO322" s="63">
        <f>Tabel2[[#This Row],[Aflossing]]+V322</f>
        <v>710.07986872748802</v>
      </c>
      <c r="AP322" s="63">
        <f t="shared" si="87"/>
        <v>72.397141415065121</v>
      </c>
      <c r="AQ322" s="2">
        <f t="shared" si="74"/>
        <v>83.779790552275657</v>
      </c>
      <c r="AU322" s="20"/>
      <c r="AV322" s="20"/>
    </row>
    <row r="323" spans="1:48">
      <c r="A323" s="71">
        <v>312</v>
      </c>
      <c r="B323" s="77">
        <f t="shared" si="75"/>
        <v>35792.680508616271</v>
      </c>
      <c r="C323" s="73">
        <f>B323/Dashboard!$I$25</f>
        <v>0.1431707220344651</v>
      </c>
      <c r="D323" s="74">
        <f t="shared" si="76"/>
        <v>0</v>
      </c>
      <c r="E323" s="73">
        <f>IF($D$2="JA",Dashboard!$K$26-$D$11+D323,Dashboard!$K$26)</f>
        <v>2.3800000000000002E-2</v>
      </c>
      <c r="F323" s="72">
        <f t="shared" si="77"/>
        <v>70.988816342088938</v>
      </c>
      <c r="G323" s="72">
        <f t="shared" si="88"/>
        <v>711.48819380046427</v>
      </c>
      <c r="H323" s="72">
        <f>IFERROR(-PMT(E323^1/12,Dashboard!$I$30-A323,B323),0)</f>
        <v>782.47701014255324</v>
      </c>
      <c r="I323" s="75">
        <f t="shared" si="78"/>
        <v>782.47701014255324</v>
      </c>
      <c r="J323" s="76">
        <f t="shared" si="89"/>
        <v>36788.033001232674</v>
      </c>
      <c r="K323" s="76">
        <f>J323*Dashboard!$K$26/12</f>
        <v>82.159940369419644</v>
      </c>
      <c r="L323" s="76">
        <f t="shared" si="79"/>
        <v>726.92590220793545</v>
      </c>
      <c r="M323" s="76">
        <f>IF(H323=0,0,IFERROR(-PMT(Dashboard!$K$26^1/12,Dashboard!$I$30,Dashboard!$I$26),0))</f>
        <v>809.08584257735515</v>
      </c>
      <c r="P323" s="59">
        <v>312</v>
      </c>
      <c r="Q323" s="28">
        <f t="shared" si="80"/>
        <v>0</v>
      </c>
      <c r="R323" s="20">
        <f>Q323/Dashboard!$I$25</f>
        <v>0</v>
      </c>
      <c r="S323" s="20">
        <f t="shared" si="81"/>
        <v>0</v>
      </c>
      <c r="T323" s="20">
        <f>IF($D$2="JA",Dashboard!$K$27-$S$11+S323,Dashboard!$K$27)</f>
        <v>2.6800000000000001E-2</v>
      </c>
      <c r="U323" s="27">
        <f t="shared" si="82"/>
        <v>0</v>
      </c>
      <c r="V323" s="26">
        <f>IF(Q323&lt;=1,0,Dashboard!$I$27/Dashboard!$I$30)</f>
        <v>0</v>
      </c>
      <c r="W323" s="28">
        <f>Q323*Dashboard!$K$27/12</f>
        <v>0</v>
      </c>
      <c r="Y323" s="59">
        <v>312</v>
      </c>
      <c r="Z323" s="67">
        <f>Dashboard!$I$28</f>
        <v>0</v>
      </c>
      <c r="AA323" s="64">
        <f>IF(Z323&lt;=1,0,Dashboard!$I$30-Y323)</f>
        <v>0</v>
      </c>
      <c r="AB323" s="64">
        <f t="shared" si="83"/>
        <v>0</v>
      </c>
      <c r="AC323" s="1">
        <f>Dashboard!$K$28</f>
        <v>2.6800000000000001E-2</v>
      </c>
      <c r="AD323" s="28">
        <f t="shared" si="84"/>
        <v>0</v>
      </c>
      <c r="AF323" s="2">
        <f t="shared" si="85"/>
        <v>35792.680508616271</v>
      </c>
      <c r="AG323" s="62">
        <f>(B323+Q323+Z323)/Dashboard!$I$25</f>
        <v>0.1431707220344651</v>
      </c>
      <c r="AH323" s="20">
        <f t="shared" si="86"/>
        <v>0</v>
      </c>
      <c r="AI323" s="20">
        <f>IF($D$2="JA",Dashboard!$K$26-$AH$11+AH323,Dashboard!$K$26)</f>
        <v>2.3800000000000002E-2</v>
      </c>
      <c r="AJ323" s="27">
        <f>Tabel2[[#This Row],[Schuldrest]]*AI323/12</f>
        <v>70.988816342088938</v>
      </c>
      <c r="AK323" s="20">
        <f>IF($D$2="JA",Dashboard!$K$27-$AH$11+AH323,Dashboard!$K$27)</f>
        <v>2.3800000000000002E-2</v>
      </c>
      <c r="AL323" s="27">
        <f t="shared" si="72"/>
        <v>0</v>
      </c>
      <c r="AM323" s="20">
        <f>IF($D$2="JA",Dashboard!$K$28-$AH$11+AH323,Dashboard!$K$28)</f>
        <v>2.3800000000000002E-2</v>
      </c>
      <c r="AN323" s="27">
        <f t="shared" si="73"/>
        <v>0</v>
      </c>
      <c r="AO323" s="63">
        <f>Tabel2[[#This Row],[Aflossing]]+V323</f>
        <v>711.48819380046427</v>
      </c>
      <c r="AP323" s="63">
        <f t="shared" si="87"/>
        <v>70.988816342088938</v>
      </c>
      <c r="AQ323" s="2">
        <f t="shared" si="74"/>
        <v>82.159940369419644</v>
      </c>
      <c r="AU323" s="20"/>
      <c r="AV323" s="20"/>
    </row>
    <row r="324" spans="1:48">
      <c r="A324" s="71">
        <v>313</v>
      </c>
      <c r="B324" s="77">
        <f t="shared" si="75"/>
        <v>35081.192314815809</v>
      </c>
      <c r="C324" s="73">
        <f>B324/Dashboard!$I$25</f>
        <v>0.14032476925926324</v>
      </c>
      <c r="D324" s="74">
        <f t="shared" si="76"/>
        <v>0</v>
      </c>
      <c r="E324" s="73">
        <f>IF($D$2="JA",Dashboard!$K$26-$D$11+D324,Dashboard!$K$26)</f>
        <v>2.3800000000000002E-2</v>
      </c>
      <c r="F324" s="72">
        <f t="shared" si="77"/>
        <v>69.57769809105136</v>
      </c>
      <c r="G324" s="72">
        <f t="shared" si="88"/>
        <v>712.89931205150197</v>
      </c>
      <c r="H324" s="72">
        <f>IFERROR(-PMT(E324^1/12,Dashboard!$I$30-A324,B324),0)</f>
        <v>782.47701014255335</v>
      </c>
      <c r="I324" s="75">
        <f t="shared" si="78"/>
        <v>782.47701014255335</v>
      </c>
      <c r="J324" s="76">
        <f t="shared" si="89"/>
        <v>36061.107099024739</v>
      </c>
      <c r="K324" s="76">
        <f>J324*Dashboard!$K$26/12</f>
        <v>80.536472521155261</v>
      </c>
      <c r="L324" s="76">
        <f t="shared" si="79"/>
        <v>728.5493700561999</v>
      </c>
      <c r="M324" s="76">
        <f>IF(H324=0,0,IFERROR(-PMT(Dashboard!$K$26^1/12,Dashboard!$I$30,Dashboard!$I$26),0))</f>
        <v>809.08584257735515</v>
      </c>
      <c r="P324" s="59">
        <v>313</v>
      </c>
      <c r="Q324" s="28">
        <f t="shared" si="80"/>
        <v>0</v>
      </c>
      <c r="R324" s="20">
        <f>Q324/Dashboard!$I$25</f>
        <v>0</v>
      </c>
      <c r="S324" s="20">
        <f t="shared" si="81"/>
        <v>0</v>
      </c>
      <c r="T324" s="20">
        <f>IF($D$2="JA",Dashboard!$K$27-$S$11+S324,Dashboard!$K$27)</f>
        <v>2.6800000000000001E-2</v>
      </c>
      <c r="U324" s="27">
        <f t="shared" si="82"/>
        <v>0</v>
      </c>
      <c r="V324" s="26">
        <f>IF(Q324&lt;=1,0,Dashboard!$I$27/Dashboard!$I$30)</f>
        <v>0</v>
      </c>
      <c r="W324" s="28">
        <f>Q324*Dashboard!$K$27/12</f>
        <v>0</v>
      </c>
      <c r="Y324" s="59">
        <v>313</v>
      </c>
      <c r="Z324" s="67">
        <f>Dashboard!$I$28</f>
        <v>0</v>
      </c>
      <c r="AA324" s="64">
        <f>IF(Z324&lt;=1,0,Dashboard!$I$30-Y324)</f>
        <v>0</v>
      </c>
      <c r="AB324" s="64">
        <f t="shared" si="83"/>
        <v>0</v>
      </c>
      <c r="AC324" s="1">
        <f>Dashboard!$K$28</f>
        <v>2.6800000000000001E-2</v>
      </c>
      <c r="AD324" s="28">
        <f t="shared" si="84"/>
        <v>0</v>
      </c>
      <c r="AF324" s="2">
        <f t="shared" si="85"/>
        <v>35081.192314815809</v>
      </c>
      <c r="AG324" s="62">
        <f>(B324+Q324+Z324)/Dashboard!$I$25</f>
        <v>0.14032476925926324</v>
      </c>
      <c r="AH324" s="20">
        <f t="shared" si="86"/>
        <v>0</v>
      </c>
      <c r="AI324" s="20">
        <f>IF($D$2="JA",Dashboard!$K$26-$AH$11+AH324,Dashboard!$K$26)</f>
        <v>2.3800000000000002E-2</v>
      </c>
      <c r="AJ324" s="27">
        <f>Tabel2[[#This Row],[Schuldrest]]*AI324/12</f>
        <v>69.57769809105136</v>
      </c>
      <c r="AK324" s="20">
        <f>IF($D$2="JA",Dashboard!$K$27-$AH$11+AH324,Dashboard!$K$27)</f>
        <v>2.3800000000000002E-2</v>
      </c>
      <c r="AL324" s="27">
        <f t="shared" si="72"/>
        <v>0</v>
      </c>
      <c r="AM324" s="20">
        <f>IF($D$2="JA",Dashboard!$K$28-$AH$11+AH324,Dashboard!$K$28)</f>
        <v>2.3800000000000002E-2</v>
      </c>
      <c r="AN324" s="27">
        <f t="shared" si="73"/>
        <v>0</v>
      </c>
      <c r="AO324" s="63">
        <f>Tabel2[[#This Row],[Aflossing]]+V324</f>
        <v>712.89931205150197</v>
      </c>
      <c r="AP324" s="63">
        <f t="shared" si="87"/>
        <v>69.57769809105136</v>
      </c>
      <c r="AQ324" s="2">
        <f t="shared" si="74"/>
        <v>80.536472521155261</v>
      </c>
      <c r="AU324" s="20"/>
      <c r="AV324" s="20"/>
    </row>
    <row r="325" spans="1:48">
      <c r="A325" s="71">
        <v>314</v>
      </c>
      <c r="B325" s="77">
        <f t="shared" si="75"/>
        <v>34368.293002764309</v>
      </c>
      <c r="C325" s="73">
        <f>B325/Dashboard!$I$25</f>
        <v>0.13747317201105724</v>
      </c>
      <c r="D325" s="74">
        <f t="shared" si="76"/>
        <v>0</v>
      </c>
      <c r="E325" s="73">
        <f>IF($D$2="JA",Dashboard!$K$26-$D$11+D325,Dashboard!$K$26)</f>
        <v>2.3800000000000002E-2</v>
      </c>
      <c r="F325" s="72">
        <f t="shared" si="77"/>
        <v>68.163781122149217</v>
      </c>
      <c r="G325" s="72">
        <f t="shared" si="88"/>
        <v>714.31322902040415</v>
      </c>
      <c r="H325" s="72">
        <f>IFERROR(-PMT(E325^1/12,Dashboard!$I$30-A325,B325),0)</f>
        <v>782.47701014255335</v>
      </c>
      <c r="I325" s="75">
        <f t="shared" si="78"/>
        <v>782.47701014255335</v>
      </c>
      <c r="J325" s="76">
        <f t="shared" si="89"/>
        <v>35332.557728968539</v>
      </c>
      <c r="K325" s="76">
        <f>J325*Dashboard!$K$26/12</f>
        <v>78.909378928029739</v>
      </c>
      <c r="L325" s="76">
        <f t="shared" si="79"/>
        <v>730.17646364932546</v>
      </c>
      <c r="M325" s="76">
        <f>IF(H325=0,0,IFERROR(-PMT(Dashboard!$K$26^1/12,Dashboard!$I$30,Dashboard!$I$26),0))</f>
        <v>809.08584257735515</v>
      </c>
      <c r="P325" s="59">
        <v>314</v>
      </c>
      <c r="Q325" s="28">
        <f t="shared" si="80"/>
        <v>0</v>
      </c>
      <c r="R325" s="20">
        <f>Q325/Dashboard!$I$25</f>
        <v>0</v>
      </c>
      <c r="S325" s="20">
        <f t="shared" si="81"/>
        <v>0</v>
      </c>
      <c r="T325" s="20">
        <f>IF($D$2="JA",Dashboard!$K$27-$S$11+S325,Dashboard!$K$27)</f>
        <v>2.6800000000000001E-2</v>
      </c>
      <c r="U325" s="27">
        <f t="shared" si="82"/>
        <v>0</v>
      </c>
      <c r="V325" s="26">
        <f>IF(Q325&lt;=1,0,Dashboard!$I$27/Dashboard!$I$30)</f>
        <v>0</v>
      </c>
      <c r="W325" s="28">
        <f>Q325*Dashboard!$K$27/12</f>
        <v>0</v>
      </c>
      <c r="Y325" s="59">
        <v>314</v>
      </c>
      <c r="Z325" s="67">
        <f>Dashboard!$I$28</f>
        <v>0</v>
      </c>
      <c r="AA325" s="64">
        <f>IF(Z325&lt;=1,0,Dashboard!$I$30-Y325)</f>
        <v>0</v>
      </c>
      <c r="AB325" s="64">
        <f t="shared" si="83"/>
        <v>0</v>
      </c>
      <c r="AC325" s="1">
        <f>Dashboard!$K$28</f>
        <v>2.6800000000000001E-2</v>
      </c>
      <c r="AD325" s="28">
        <f t="shared" si="84"/>
        <v>0</v>
      </c>
      <c r="AF325" s="2">
        <f t="shared" si="85"/>
        <v>34368.293002764309</v>
      </c>
      <c r="AG325" s="62">
        <f>(B325+Q325+Z325)/Dashboard!$I$25</f>
        <v>0.13747317201105724</v>
      </c>
      <c r="AH325" s="20">
        <f t="shared" si="86"/>
        <v>0</v>
      </c>
      <c r="AI325" s="20">
        <f>IF($D$2="JA",Dashboard!$K$26-$AH$11+AH325,Dashboard!$K$26)</f>
        <v>2.3800000000000002E-2</v>
      </c>
      <c r="AJ325" s="27">
        <f>Tabel2[[#This Row],[Schuldrest]]*AI325/12</f>
        <v>68.163781122149217</v>
      </c>
      <c r="AK325" s="20">
        <f>IF($D$2="JA",Dashboard!$K$27-$AH$11+AH325,Dashboard!$K$27)</f>
        <v>2.3800000000000002E-2</v>
      </c>
      <c r="AL325" s="27">
        <f t="shared" si="72"/>
        <v>0</v>
      </c>
      <c r="AM325" s="20">
        <f>IF($D$2="JA",Dashboard!$K$28-$AH$11+AH325,Dashboard!$K$28)</f>
        <v>2.3800000000000002E-2</v>
      </c>
      <c r="AN325" s="27">
        <f t="shared" si="73"/>
        <v>0</v>
      </c>
      <c r="AO325" s="63">
        <f>Tabel2[[#This Row],[Aflossing]]+V325</f>
        <v>714.31322902040415</v>
      </c>
      <c r="AP325" s="63">
        <f t="shared" si="87"/>
        <v>68.163781122149217</v>
      </c>
      <c r="AQ325" s="2">
        <f t="shared" si="74"/>
        <v>78.909378928029739</v>
      </c>
      <c r="AU325" s="20"/>
      <c r="AV325" s="20"/>
    </row>
    <row r="326" spans="1:48">
      <c r="A326" s="71">
        <v>315</v>
      </c>
      <c r="B326" s="77">
        <f t="shared" si="75"/>
        <v>33653.979773743908</v>
      </c>
      <c r="C326" s="73">
        <f>B326/Dashboard!$I$25</f>
        <v>0.13461591909497564</v>
      </c>
      <c r="D326" s="74">
        <f t="shared" si="76"/>
        <v>0</v>
      </c>
      <c r="E326" s="73">
        <f>IF($D$2="JA",Dashboard!$K$26-$D$11+D326,Dashboard!$K$26)</f>
        <v>2.3800000000000002E-2</v>
      </c>
      <c r="F326" s="72">
        <f t="shared" si="77"/>
        <v>66.74705988459209</v>
      </c>
      <c r="G326" s="72">
        <f t="shared" si="88"/>
        <v>715.72995025796149</v>
      </c>
      <c r="H326" s="72">
        <f>IFERROR(-PMT(E326^1/12,Dashboard!$I$30-A326,B326),0)</f>
        <v>782.47701014255358</v>
      </c>
      <c r="I326" s="75">
        <f t="shared" si="78"/>
        <v>782.47701014255358</v>
      </c>
      <c r="J326" s="76">
        <f t="shared" si="89"/>
        <v>34602.381265319214</v>
      </c>
      <c r="K326" s="76">
        <f>J326*Dashboard!$K$26/12</f>
        <v>77.278651492546246</v>
      </c>
      <c r="L326" s="76">
        <f t="shared" si="79"/>
        <v>731.80719108480889</v>
      </c>
      <c r="M326" s="76">
        <f>IF(H326=0,0,IFERROR(-PMT(Dashboard!$K$26^1/12,Dashboard!$I$30,Dashboard!$I$26),0))</f>
        <v>809.08584257735515</v>
      </c>
      <c r="P326" s="59">
        <v>315</v>
      </c>
      <c r="Q326" s="28">
        <f t="shared" si="80"/>
        <v>0</v>
      </c>
      <c r="R326" s="20">
        <f>Q326/Dashboard!$I$25</f>
        <v>0</v>
      </c>
      <c r="S326" s="20">
        <f t="shared" si="81"/>
        <v>0</v>
      </c>
      <c r="T326" s="20">
        <f>IF($D$2="JA",Dashboard!$K$27-$S$11+S326,Dashboard!$K$27)</f>
        <v>2.6800000000000001E-2</v>
      </c>
      <c r="U326" s="27">
        <f t="shared" si="82"/>
        <v>0</v>
      </c>
      <c r="V326" s="26">
        <f>IF(Q326&lt;=1,0,Dashboard!$I$27/Dashboard!$I$30)</f>
        <v>0</v>
      </c>
      <c r="W326" s="28">
        <f>Q326*Dashboard!$K$27/12</f>
        <v>0</v>
      </c>
      <c r="Y326" s="59">
        <v>315</v>
      </c>
      <c r="Z326" s="67">
        <f>Dashboard!$I$28</f>
        <v>0</v>
      </c>
      <c r="AA326" s="64">
        <f>IF(Z326&lt;=1,0,Dashboard!$I$30-Y326)</f>
        <v>0</v>
      </c>
      <c r="AB326" s="64">
        <f t="shared" si="83"/>
        <v>0</v>
      </c>
      <c r="AC326" s="1">
        <f>Dashboard!$K$28</f>
        <v>2.6800000000000001E-2</v>
      </c>
      <c r="AD326" s="28">
        <f t="shared" si="84"/>
        <v>0</v>
      </c>
      <c r="AF326" s="2">
        <f t="shared" si="85"/>
        <v>33653.979773743908</v>
      </c>
      <c r="AG326" s="62">
        <f>(B326+Q326+Z326)/Dashboard!$I$25</f>
        <v>0.13461591909497564</v>
      </c>
      <c r="AH326" s="20">
        <f t="shared" si="86"/>
        <v>0</v>
      </c>
      <c r="AI326" s="20">
        <f>IF($D$2="JA",Dashboard!$K$26-$AH$11+AH326,Dashboard!$K$26)</f>
        <v>2.3800000000000002E-2</v>
      </c>
      <c r="AJ326" s="27">
        <f>Tabel2[[#This Row],[Schuldrest]]*AI326/12</f>
        <v>66.74705988459209</v>
      </c>
      <c r="AK326" s="20">
        <f>IF($D$2="JA",Dashboard!$K$27-$AH$11+AH326,Dashboard!$K$27)</f>
        <v>2.3800000000000002E-2</v>
      </c>
      <c r="AL326" s="27">
        <f t="shared" si="72"/>
        <v>0</v>
      </c>
      <c r="AM326" s="20">
        <f>IF($D$2="JA",Dashboard!$K$28-$AH$11+AH326,Dashboard!$K$28)</f>
        <v>2.3800000000000002E-2</v>
      </c>
      <c r="AN326" s="27">
        <f t="shared" si="73"/>
        <v>0</v>
      </c>
      <c r="AO326" s="63">
        <f>Tabel2[[#This Row],[Aflossing]]+V326</f>
        <v>715.72995025796149</v>
      </c>
      <c r="AP326" s="63">
        <f t="shared" si="87"/>
        <v>66.74705988459209</v>
      </c>
      <c r="AQ326" s="2">
        <f t="shared" si="74"/>
        <v>77.278651492546246</v>
      </c>
      <c r="AU326" s="20"/>
      <c r="AV326" s="20"/>
    </row>
    <row r="327" spans="1:48">
      <c r="A327" s="71">
        <v>316</v>
      </c>
      <c r="B327" s="77">
        <f t="shared" si="75"/>
        <v>32938.249823485945</v>
      </c>
      <c r="C327" s="73">
        <f>B327/Dashboard!$I$25</f>
        <v>0.13175299929394377</v>
      </c>
      <c r="D327" s="74">
        <f t="shared" si="76"/>
        <v>0</v>
      </c>
      <c r="E327" s="73">
        <f>IF($D$2="JA",Dashboard!$K$26-$D$11+D327,Dashboard!$K$26)</f>
        <v>2.3800000000000002E-2</v>
      </c>
      <c r="F327" s="72">
        <f t="shared" si="77"/>
        <v>65.327528816580454</v>
      </c>
      <c r="G327" s="72">
        <f t="shared" si="88"/>
        <v>717.14948132597294</v>
      </c>
      <c r="H327" s="72">
        <f>IFERROR(-PMT(E327^1/12,Dashboard!$I$30-A327,B327),0)</f>
        <v>782.47701014255335</v>
      </c>
      <c r="I327" s="75">
        <f t="shared" si="78"/>
        <v>782.47701014255335</v>
      </c>
      <c r="J327" s="76">
        <f t="shared" si="89"/>
        <v>33870.574074234406</v>
      </c>
      <c r="K327" s="76">
        <f>J327*Dashboard!$K$26/12</f>
        <v>75.644282099123515</v>
      </c>
      <c r="L327" s="76">
        <f t="shared" si="79"/>
        <v>733.44156047823162</v>
      </c>
      <c r="M327" s="76">
        <f>IF(H327=0,0,IFERROR(-PMT(Dashboard!$K$26^1/12,Dashboard!$I$30,Dashboard!$I$26),0))</f>
        <v>809.08584257735515</v>
      </c>
      <c r="P327" s="59">
        <v>316</v>
      </c>
      <c r="Q327" s="28">
        <f t="shared" si="80"/>
        <v>0</v>
      </c>
      <c r="R327" s="20">
        <f>Q327/Dashboard!$I$25</f>
        <v>0</v>
      </c>
      <c r="S327" s="20">
        <f t="shared" si="81"/>
        <v>0</v>
      </c>
      <c r="T327" s="20">
        <f>IF($D$2="JA",Dashboard!$K$27-$S$11+S327,Dashboard!$K$27)</f>
        <v>2.6800000000000001E-2</v>
      </c>
      <c r="U327" s="27">
        <f t="shared" si="82"/>
        <v>0</v>
      </c>
      <c r="V327" s="26">
        <f>IF(Q327&lt;=1,0,Dashboard!$I$27/Dashboard!$I$30)</f>
        <v>0</v>
      </c>
      <c r="W327" s="28">
        <f>Q327*Dashboard!$K$27/12</f>
        <v>0</v>
      </c>
      <c r="Y327" s="59">
        <v>316</v>
      </c>
      <c r="Z327" s="67">
        <f>Dashboard!$I$28</f>
        <v>0</v>
      </c>
      <c r="AA327" s="64">
        <f>IF(Z327&lt;=1,0,Dashboard!$I$30-Y327)</f>
        <v>0</v>
      </c>
      <c r="AB327" s="64">
        <f t="shared" si="83"/>
        <v>0</v>
      </c>
      <c r="AC327" s="1">
        <f>Dashboard!$K$28</f>
        <v>2.6800000000000001E-2</v>
      </c>
      <c r="AD327" s="28">
        <f t="shared" si="84"/>
        <v>0</v>
      </c>
      <c r="AF327" s="2">
        <f t="shared" si="85"/>
        <v>32938.249823485945</v>
      </c>
      <c r="AG327" s="62">
        <f>(B327+Q327+Z327)/Dashboard!$I$25</f>
        <v>0.13175299929394377</v>
      </c>
      <c r="AH327" s="20">
        <f t="shared" si="86"/>
        <v>0</v>
      </c>
      <c r="AI327" s="20">
        <f>IF($D$2="JA",Dashboard!$K$26-$AH$11+AH327,Dashboard!$K$26)</f>
        <v>2.3800000000000002E-2</v>
      </c>
      <c r="AJ327" s="27">
        <f>Tabel2[[#This Row],[Schuldrest]]*AI327/12</f>
        <v>65.327528816580454</v>
      </c>
      <c r="AK327" s="20">
        <f>IF($D$2="JA",Dashboard!$K$27-$AH$11+AH327,Dashboard!$K$27)</f>
        <v>2.3800000000000002E-2</v>
      </c>
      <c r="AL327" s="27">
        <f t="shared" si="72"/>
        <v>0</v>
      </c>
      <c r="AM327" s="20">
        <f>IF($D$2="JA",Dashboard!$K$28-$AH$11+AH327,Dashboard!$K$28)</f>
        <v>2.3800000000000002E-2</v>
      </c>
      <c r="AN327" s="27">
        <f t="shared" si="73"/>
        <v>0</v>
      </c>
      <c r="AO327" s="63">
        <f>Tabel2[[#This Row],[Aflossing]]+V327</f>
        <v>717.14948132597294</v>
      </c>
      <c r="AP327" s="63">
        <f t="shared" si="87"/>
        <v>65.327528816580454</v>
      </c>
      <c r="AQ327" s="2">
        <f t="shared" si="74"/>
        <v>75.644282099123515</v>
      </c>
      <c r="AU327" s="20"/>
      <c r="AV327" s="20"/>
    </row>
    <row r="328" spans="1:48">
      <c r="A328" s="71">
        <v>317</v>
      </c>
      <c r="B328" s="77">
        <f t="shared" si="75"/>
        <v>32221.100342159971</v>
      </c>
      <c r="C328" s="73">
        <f>B328/Dashboard!$I$25</f>
        <v>0.12888440136863988</v>
      </c>
      <c r="D328" s="74">
        <f t="shared" si="76"/>
        <v>0</v>
      </c>
      <c r="E328" s="73">
        <f>IF($D$2="JA",Dashboard!$K$26-$D$11+D328,Dashboard!$K$26)</f>
        <v>2.3800000000000002E-2</v>
      </c>
      <c r="F328" s="72">
        <f t="shared" si="77"/>
        <v>63.905182345283947</v>
      </c>
      <c r="G328" s="72">
        <f t="shared" si="88"/>
        <v>718.57182779726941</v>
      </c>
      <c r="H328" s="72">
        <f>IFERROR(-PMT(E328^1/12,Dashboard!$I$30-A328,B328),0)</f>
        <v>782.47701014255335</v>
      </c>
      <c r="I328" s="75">
        <f t="shared" si="78"/>
        <v>782.47701014255335</v>
      </c>
      <c r="J328" s="76">
        <f t="shared" si="89"/>
        <v>33137.132513756173</v>
      </c>
      <c r="K328" s="76">
        <f>J328*Dashboard!$K$26/12</f>
        <v>74.006262614055458</v>
      </c>
      <c r="L328" s="76">
        <f t="shared" si="79"/>
        <v>735.07957996329969</v>
      </c>
      <c r="M328" s="76">
        <f>IF(H328=0,0,IFERROR(-PMT(Dashboard!$K$26^1/12,Dashboard!$I$30,Dashboard!$I$26),0))</f>
        <v>809.08584257735515</v>
      </c>
      <c r="P328" s="59">
        <v>317</v>
      </c>
      <c r="Q328" s="28">
        <f t="shared" si="80"/>
        <v>0</v>
      </c>
      <c r="R328" s="20">
        <f>Q328/Dashboard!$I$25</f>
        <v>0</v>
      </c>
      <c r="S328" s="20">
        <f t="shared" si="81"/>
        <v>0</v>
      </c>
      <c r="T328" s="20">
        <f>IF($D$2="JA",Dashboard!$K$27-$S$11+S328,Dashboard!$K$27)</f>
        <v>2.6800000000000001E-2</v>
      </c>
      <c r="U328" s="27">
        <f t="shared" si="82"/>
        <v>0</v>
      </c>
      <c r="V328" s="26">
        <f>IF(Q328&lt;=1,0,Dashboard!$I$27/Dashboard!$I$30)</f>
        <v>0</v>
      </c>
      <c r="W328" s="28">
        <f>Q328*Dashboard!$K$27/12</f>
        <v>0</v>
      </c>
      <c r="Y328" s="59">
        <v>317</v>
      </c>
      <c r="Z328" s="67">
        <f>Dashboard!$I$28</f>
        <v>0</v>
      </c>
      <c r="AA328" s="64">
        <f>IF(Z328&lt;=1,0,Dashboard!$I$30-Y328)</f>
        <v>0</v>
      </c>
      <c r="AB328" s="64">
        <f t="shared" si="83"/>
        <v>0</v>
      </c>
      <c r="AC328" s="1">
        <f>Dashboard!$K$28</f>
        <v>2.6800000000000001E-2</v>
      </c>
      <c r="AD328" s="28">
        <f t="shared" si="84"/>
        <v>0</v>
      </c>
      <c r="AF328" s="2">
        <f t="shared" si="85"/>
        <v>32221.100342159971</v>
      </c>
      <c r="AG328" s="62">
        <f>(B328+Q328+Z328)/Dashboard!$I$25</f>
        <v>0.12888440136863988</v>
      </c>
      <c r="AH328" s="20">
        <f t="shared" si="86"/>
        <v>0</v>
      </c>
      <c r="AI328" s="20">
        <f>IF($D$2="JA",Dashboard!$K$26-$AH$11+AH328,Dashboard!$K$26)</f>
        <v>2.3800000000000002E-2</v>
      </c>
      <c r="AJ328" s="27">
        <f>Tabel2[[#This Row],[Schuldrest]]*AI328/12</f>
        <v>63.905182345283947</v>
      </c>
      <c r="AK328" s="20">
        <f>IF($D$2="JA",Dashboard!$K$27-$AH$11+AH328,Dashboard!$K$27)</f>
        <v>2.3800000000000002E-2</v>
      </c>
      <c r="AL328" s="27">
        <f t="shared" si="72"/>
        <v>0</v>
      </c>
      <c r="AM328" s="20">
        <f>IF($D$2="JA",Dashboard!$K$28-$AH$11+AH328,Dashboard!$K$28)</f>
        <v>2.3800000000000002E-2</v>
      </c>
      <c r="AN328" s="27">
        <f t="shared" si="73"/>
        <v>0</v>
      </c>
      <c r="AO328" s="63">
        <f>Tabel2[[#This Row],[Aflossing]]+V328</f>
        <v>718.57182779726941</v>
      </c>
      <c r="AP328" s="63">
        <f t="shared" si="87"/>
        <v>63.905182345283947</v>
      </c>
      <c r="AQ328" s="2">
        <f t="shared" si="74"/>
        <v>74.006262614055458</v>
      </c>
      <c r="AU328" s="20"/>
      <c r="AV328" s="20"/>
    </row>
    <row r="329" spans="1:48">
      <c r="A329" s="71">
        <v>318</v>
      </c>
      <c r="B329" s="77">
        <f t="shared" si="75"/>
        <v>31502.528514362701</v>
      </c>
      <c r="C329" s="73">
        <f>B329/Dashboard!$I$25</f>
        <v>0.1260101140574508</v>
      </c>
      <c r="D329" s="74">
        <f t="shared" si="76"/>
        <v>0</v>
      </c>
      <c r="E329" s="73">
        <f>IF($D$2="JA",Dashboard!$K$26-$D$11+D329,Dashboard!$K$26)</f>
        <v>2.3800000000000002E-2</v>
      </c>
      <c r="F329" s="72">
        <f t="shared" si="77"/>
        <v>62.480014886819362</v>
      </c>
      <c r="G329" s="72">
        <f t="shared" si="88"/>
        <v>719.99699525573385</v>
      </c>
      <c r="H329" s="72">
        <f>IFERROR(-PMT(E329^1/12,Dashboard!$I$30-A329,B329),0)</f>
        <v>782.47701014255324</v>
      </c>
      <c r="I329" s="75">
        <f t="shared" si="78"/>
        <v>782.47701014255324</v>
      </c>
      <c r="J329" s="76">
        <f t="shared" si="89"/>
        <v>32402.052933792875</v>
      </c>
      <c r="K329" s="76">
        <f>J329*Dashboard!$K$26/12</f>
        <v>72.364584885470762</v>
      </c>
      <c r="L329" s="76">
        <f t="shared" si="79"/>
        <v>736.72125769188438</v>
      </c>
      <c r="M329" s="76">
        <f>IF(H329=0,0,IFERROR(-PMT(Dashboard!$K$26^1/12,Dashboard!$I$30,Dashboard!$I$26),0))</f>
        <v>809.08584257735515</v>
      </c>
      <c r="P329" s="59">
        <v>318</v>
      </c>
      <c r="Q329" s="28">
        <f t="shared" si="80"/>
        <v>0</v>
      </c>
      <c r="R329" s="20">
        <f>Q329/Dashboard!$I$25</f>
        <v>0</v>
      </c>
      <c r="S329" s="20">
        <f t="shared" si="81"/>
        <v>0</v>
      </c>
      <c r="T329" s="20">
        <f>IF($D$2="JA",Dashboard!$K$27-$S$11+S329,Dashboard!$K$27)</f>
        <v>2.6800000000000001E-2</v>
      </c>
      <c r="U329" s="27">
        <f t="shared" si="82"/>
        <v>0</v>
      </c>
      <c r="V329" s="26">
        <f>IF(Q329&lt;=1,0,Dashboard!$I$27/Dashboard!$I$30)</f>
        <v>0</v>
      </c>
      <c r="W329" s="28">
        <f>Q329*Dashboard!$K$27/12</f>
        <v>0</v>
      </c>
      <c r="Y329" s="59">
        <v>318</v>
      </c>
      <c r="Z329" s="67">
        <f>Dashboard!$I$28</f>
        <v>0</v>
      </c>
      <c r="AA329" s="64">
        <f>IF(Z329&lt;=1,0,Dashboard!$I$30-Y329)</f>
        <v>0</v>
      </c>
      <c r="AB329" s="64">
        <f t="shared" si="83"/>
        <v>0</v>
      </c>
      <c r="AC329" s="1">
        <f>Dashboard!$K$28</f>
        <v>2.6800000000000001E-2</v>
      </c>
      <c r="AD329" s="28">
        <f t="shared" si="84"/>
        <v>0</v>
      </c>
      <c r="AF329" s="2">
        <f t="shared" si="85"/>
        <v>31502.528514362701</v>
      </c>
      <c r="AG329" s="62">
        <f>(B329+Q329+Z329)/Dashboard!$I$25</f>
        <v>0.1260101140574508</v>
      </c>
      <c r="AH329" s="20">
        <f t="shared" si="86"/>
        <v>0</v>
      </c>
      <c r="AI329" s="20">
        <f>IF($D$2="JA",Dashboard!$K$26-$AH$11+AH329,Dashboard!$K$26)</f>
        <v>2.3800000000000002E-2</v>
      </c>
      <c r="AJ329" s="27">
        <f>Tabel2[[#This Row],[Schuldrest]]*AI329/12</f>
        <v>62.480014886819362</v>
      </c>
      <c r="AK329" s="20">
        <f>IF($D$2="JA",Dashboard!$K$27-$AH$11+AH329,Dashboard!$K$27)</f>
        <v>2.3800000000000002E-2</v>
      </c>
      <c r="AL329" s="27">
        <f t="shared" si="72"/>
        <v>0</v>
      </c>
      <c r="AM329" s="20">
        <f>IF($D$2="JA",Dashboard!$K$28-$AH$11+AH329,Dashboard!$K$28)</f>
        <v>2.3800000000000002E-2</v>
      </c>
      <c r="AN329" s="27">
        <f t="shared" si="73"/>
        <v>0</v>
      </c>
      <c r="AO329" s="63">
        <f>Tabel2[[#This Row],[Aflossing]]+V329</f>
        <v>719.99699525573385</v>
      </c>
      <c r="AP329" s="63">
        <f t="shared" si="87"/>
        <v>62.480014886819362</v>
      </c>
      <c r="AQ329" s="2">
        <f t="shared" si="74"/>
        <v>72.364584885470762</v>
      </c>
      <c r="AU329" s="20"/>
      <c r="AV329" s="20"/>
    </row>
    <row r="330" spans="1:48">
      <c r="A330" s="71">
        <v>319</v>
      </c>
      <c r="B330" s="77">
        <f t="shared" si="75"/>
        <v>30782.531519106968</v>
      </c>
      <c r="C330" s="73">
        <f>B330/Dashboard!$I$25</f>
        <v>0.12313012607642787</v>
      </c>
      <c r="D330" s="74">
        <f t="shared" si="76"/>
        <v>0</v>
      </c>
      <c r="E330" s="73">
        <f>IF($D$2="JA",Dashboard!$K$26-$D$11+D330,Dashboard!$K$26)</f>
        <v>2.3800000000000002E-2</v>
      </c>
      <c r="F330" s="72">
        <f t="shared" si="77"/>
        <v>61.052020846228828</v>
      </c>
      <c r="G330" s="72">
        <f t="shared" si="88"/>
        <v>721.4249892963245</v>
      </c>
      <c r="H330" s="72">
        <f>IFERROR(-PMT(E330^1/12,Dashboard!$I$30-A330,B330),0)</f>
        <v>782.47701014255335</v>
      </c>
      <c r="I330" s="75">
        <f t="shared" si="78"/>
        <v>782.47701014255335</v>
      </c>
      <c r="J330" s="76">
        <f t="shared" si="89"/>
        <v>31665.331676100992</v>
      </c>
      <c r="K330" s="76">
        <f>J330*Dashboard!$K$26/12</f>
        <v>70.719240743292218</v>
      </c>
      <c r="L330" s="76">
        <f t="shared" si="79"/>
        <v>738.36660183406298</v>
      </c>
      <c r="M330" s="76">
        <f>IF(H330=0,0,IFERROR(-PMT(Dashboard!$K$26^1/12,Dashboard!$I$30,Dashboard!$I$26),0))</f>
        <v>809.08584257735515</v>
      </c>
      <c r="P330" s="59">
        <v>319</v>
      </c>
      <c r="Q330" s="28">
        <f t="shared" si="80"/>
        <v>0</v>
      </c>
      <c r="R330" s="20">
        <f>Q330/Dashboard!$I$25</f>
        <v>0</v>
      </c>
      <c r="S330" s="20">
        <f t="shared" si="81"/>
        <v>0</v>
      </c>
      <c r="T330" s="20">
        <f>IF($D$2="JA",Dashboard!$K$27-$S$11+S330,Dashboard!$K$27)</f>
        <v>2.6800000000000001E-2</v>
      </c>
      <c r="U330" s="27">
        <f t="shared" si="82"/>
        <v>0</v>
      </c>
      <c r="V330" s="26">
        <f>IF(Q330&lt;=1,0,Dashboard!$I$27/Dashboard!$I$30)</f>
        <v>0</v>
      </c>
      <c r="W330" s="28">
        <f>Q330*Dashboard!$K$27/12</f>
        <v>0</v>
      </c>
      <c r="Y330" s="59">
        <v>319</v>
      </c>
      <c r="Z330" s="67">
        <f>Dashboard!$I$28</f>
        <v>0</v>
      </c>
      <c r="AA330" s="64">
        <f>IF(Z330&lt;=1,0,Dashboard!$I$30-Y330)</f>
        <v>0</v>
      </c>
      <c r="AB330" s="64">
        <f t="shared" si="83"/>
        <v>0</v>
      </c>
      <c r="AC330" s="1">
        <f>Dashboard!$K$28</f>
        <v>2.6800000000000001E-2</v>
      </c>
      <c r="AD330" s="28">
        <f t="shared" si="84"/>
        <v>0</v>
      </c>
      <c r="AF330" s="2">
        <f t="shared" si="85"/>
        <v>30782.531519106968</v>
      </c>
      <c r="AG330" s="62">
        <f>(B330+Q330+Z330)/Dashboard!$I$25</f>
        <v>0.12313012607642787</v>
      </c>
      <c r="AH330" s="20">
        <f t="shared" si="86"/>
        <v>0</v>
      </c>
      <c r="AI330" s="20">
        <f>IF($D$2="JA",Dashboard!$K$26-$AH$11+AH330,Dashboard!$K$26)</f>
        <v>2.3800000000000002E-2</v>
      </c>
      <c r="AJ330" s="27">
        <f>Tabel2[[#This Row],[Schuldrest]]*AI330/12</f>
        <v>61.052020846228828</v>
      </c>
      <c r="AK330" s="20">
        <f>IF($D$2="JA",Dashboard!$K$27-$AH$11+AH330,Dashboard!$K$27)</f>
        <v>2.3800000000000002E-2</v>
      </c>
      <c r="AL330" s="27">
        <f t="shared" si="72"/>
        <v>0</v>
      </c>
      <c r="AM330" s="20">
        <f>IF($D$2="JA",Dashboard!$K$28-$AH$11+AH330,Dashboard!$K$28)</f>
        <v>2.3800000000000002E-2</v>
      </c>
      <c r="AN330" s="27">
        <f t="shared" si="73"/>
        <v>0</v>
      </c>
      <c r="AO330" s="63">
        <f>Tabel2[[#This Row],[Aflossing]]+V330</f>
        <v>721.4249892963245</v>
      </c>
      <c r="AP330" s="63">
        <f t="shared" si="87"/>
        <v>61.052020846228828</v>
      </c>
      <c r="AQ330" s="2">
        <f t="shared" si="74"/>
        <v>70.719240743292218</v>
      </c>
      <c r="AU330" s="20"/>
      <c r="AV330" s="20"/>
    </row>
    <row r="331" spans="1:48">
      <c r="A331" s="71">
        <v>320</v>
      </c>
      <c r="B331" s="77">
        <f t="shared" si="75"/>
        <v>30061.106529810644</v>
      </c>
      <c r="C331" s="73">
        <f>B331/Dashboard!$I$25</f>
        <v>0.12024442611924258</v>
      </c>
      <c r="D331" s="74">
        <f t="shared" si="76"/>
        <v>0</v>
      </c>
      <c r="E331" s="73">
        <f>IF($D$2="JA",Dashboard!$K$26-$D$11+D331,Dashboard!$K$26)</f>
        <v>2.3800000000000002E-2</v>
      </c>
      <c r="F331" s="72">
        <f t="shared" si="77"/>
        <v>59.621194617457782</v>
      </c>
      <c r="G331" s="72">
        <f t="shared" si="88"/>
        <v>722.85581552509552</v>
      </c>
      <c r="H331" s="72">
        <f>IFERROR(-PMT(E331^1/12,Dashboard!$I$30-A331,B331),0)</f>
        <v>782.47701014255335</v>
      </c>
      <c r="I331" s="75">
        <f t="shared" si="78"/>
        <v>782.47701014255335</v>
      </c>
      <c r="J331" s="76">
        <f t="shared" si="89"/>
        <v>30926.965074266929</v>
      </c>
      <c r="K331" s="76">
        <f>J331*Dashboard!$K$26/12</f>
        <v>69.070221999196136</v>
      </c>
      <c r="L331" s="76">
        <f t="shared" si="79"/>
        <v>740.01562057815897</v>
      </c>
      <c r="M331" s="76">
        <f>IF(H331=0,0,IFERROR(-PMT(Dashboard!$K$26^1/12,Dashboard!$I$30,Dashboard!$I$26),0))</f>
        <v>809.08584257735515</v>
      </c>
      <c r="P331" s="59">
        <v>320</v>
      </c>
      <c r="Q331" s="28">
        <f t="shared" si="80"/>
        <v>0</v>
      </c>
      <c r="R331" s="20">
        <f>Q331/Dashboard!$I$25</f>
        <v>0</v>
      </c>
      <c r="S331" s="20">
        <f t="shared" si="81"/>
        <v>0</v>
      </c>
      <c r="T331" s="20">
        <f>IF($D$2="JA",Dashboard!$K$27-$S$11+S331,Dashboard!$K$27)</f>
        <v>2.6800000000000001E-2</v>
      </c>
      <c r="U331" s="27">
        <f t="shared" si="82"/>
        <v>0</v>
      </c>
      <c r="V331" s="26">
        <f>IF(Q331&lt;=1,0,Dashboard!$I$27/Dashboard!$I$30)</f>
        <v>0</v>
      </c>
      <c r="W331" s="28">
        <f>Q331*Dashboard!$K$27/12</f>
        <v>0</v>
      </c>
      <c r="Y331" s="59">
        <v>320</v>
      </c>
      <c r="Z331" s="67">
        <f>Dashboard!$I$28</f>
        <v>0</v>
      </c>
      <c r="AA331" s="64">
        <f>IF(Z331&lt;=1,0,Dashboard!$I$30-Y331)</f>
        <v>0</v>
      </c>
      <c r="AB331" s="64">
        <f t="shared" si="83"/>
        <v>0</v>
      </c>
      <c r="AC331" s="1">
        <f>Dashboard!$K$28</f>
        <v>2.6800000000000001E-2</v>
      </c>
      <c r="AD331" s="28">
        <f t="shared" si="84"/>
        <v>0</v>
      </c>
      <c r="AF331" s="2">
        <f t="shared" si="85"/>
        <v>30061.106529810644</v>
      </c>
      <c r="AG331" s="62">
        <f>(B331+Q331+Z331)/Dashboard!$I$25</f>
        <v>0.12024442611924258</v>
      </c>
      <c r="AH331" s="20">
        <f t="shared" si="86"/>
        <v>0</v>
      </c>
      <c r="AI331" s="20">
        <f>IF($D$2="JA",Dashboard!$K$26-$AH$11+AH331,Dashboard!$K$26)</f>
        <v>2.3800000000000002E-2</v>
      </c>
      <c r="AJ331" s="27">
        <f>Tabel2[[#This Row],[Schuldrest]]*AI331/12</f>
        <v>59.621194617457782</v>
      </c>
      <c r="AK331" s="20">
        <f>IF($D$2="JA",Dashboard!$K$27-$AH$11+AH331,Dashboard!$K$27)</f>
        <v>2.3800000000000002E-2</v>
      </c>
      <c r="AL331" s="27">
        <f t="shared" ref="AL331:AL371" si="90">Q331*AK331/12</f>
        <v>0</v>
      </c>
      <c r="AM331" s="20">
        <f>IF($D$2="JA",Dashboard!$K$28-$AH$11+AH331,Dashboard!$K$28)</f>
        <v>2.3800000000000002E-2</v>
      </c>
      <c r="AN331" s="27">
        <f t="shared" ref="AN331:AN371" si="91">AB331*AM331/12</f>
        <v>0</v>
      </c>
      <c r="AO331" s="63">
        <f>Tabel2[[#This Row],[Aflossing]]+V331</f>
        <v>722.85581552509552</v>
      </c>
      <c r="AP331" s="63">
        <f t="shared" si="87"/>
        <v>59.621194617457782</v>
      </c>
      <c r="AQ331" s="2">
        <f t="shared" ref="AQ331:AQ371" si="92">K331+W331+AD331</f>
        <v>69.070221999196136</v>
      </c>
      <c r="AU331" s="20"/>
      <c r="AV331" s="20"/>
    </row>
    <row r="332" spans="1:48">
      <c r="A332" s="71">
        <v>321</v>
      </c>
      <c r="B332" s="77">
        <f t="shared" ref="B332:B371" si="93">B331-G331</f>
        <v>29338.25071428555</v>
      </c>
      <c r="C332" s="73">
        <f>B332/Dashboard!$I$25</f>
        <v>0.1173530028571422</v>
      </c>
      <c r="D332" s="74">
        <f t="shared" ref="D332:D371" si="94">IF(C332&lt;=$C$5,0,VLOOKUP(C332,$C$6:$E$8,3))</f>
        <v>0</v>
      </c>
      <c r="E332" s="73">
        <f>IF($D$2="JA",Dashboard!$K$26-$D$11+D332,Dashboard!$K$26)</f>
        <v>2.3800000000000002E-2</v>
      </c>
      <c r="F332" s="72">
        <f t="shared" ref="F332:F371" si="95">B332*E332/12</f>
        <v>58.187530583333007</v>
      </c>
      <c r="G332" s="72">
        <f t="shared" si="88"/>
        <v>724.28947955922058</v>
      </c>
      <c r="H332" s="72">
        <f>IFERROR(-PMT(E332^1/12,Dashboard!$I$30-A332,B332),0)</f>
        <v>782.47701014255358</v>
      </c>
      <c r="I332" s="75">
        <f t="shared" ref="I332:I370" si="96">H332</f>
        <v>782.47701014255358</v>
      </c>
      <c r="J332" s="76">
        <f t="shared" si="89"/>
        <v>30186.949453688769</v>
      </c>
      <c r="K332" s="76">
        <f>J332*Dashboard!$K$26/12</f>
        <v>67.417520446571586</v>
      </c>
      <c r="L332" s="76">
        <f t="shared" ref="L332:L371" si="97">M332-K332</f>
        <v>741.66832213078351</v>
      </c>
      <c r="M332" s="76">
        <f>IF(H332=0,0,IFERROR(-PMT(Dashboard!$K$26^1/12,Dashboard!$I$30,Dashboard!$I$26),0))</f>
        <v>809.08584257735515</v>
      </c>
      <c r="P332" s="59">
        <v>321</v>
      </c>
      <c r="Q332" s="28">
        <f t="shared" ref="Q332:Q371" si="98">MAX(Q331-V331,0)</f>
        <v>0</v>
      </c>
      <c r="R332" s="20">
        <f>Q332/Dashboard!$I$25</f>
        <v>0</v>
      </c>
      <c r="S332" s="20">
        <f t="shared" ref="S332:S371" si="99">IF(R332&lt;=$C$5,0,VLOOKUP(C332,$C$6:$E$8,3))</f>
        <v>0</v>
      </c>
      <c r="T332" s="20">
        <f>IF($D$2="JA",Dashboard!$K$27-$S$11+S332,Dashboard!$K$27)</f>
        <v>2.6800000000000001E-2</v>
      </c>
      <c r="U332" s="27">
        <f t="shared" ref="U332:U371" si="100">Q332*T332/12</f>
        <v>0</v>
      </c>
      <c r="V332" s="26">
        <f>IF(Q332&lt;=1,0,Dashboard!$I$27/Dashboard!$I$30)</f>
        <v>0</v>
      </c>
      <c r="W332" s="28">
        <f>Q332*Dashboard!$K$27/12</f>
        <v>0</v>
      </c>
      <c r="Y332" s="59">
        <v>321</v>
      </c>
      <c r="Z332" s="67">
        <f>Dashboard!$I$28</f>
        <v>0</v>
      </c>
      <c r="AA332" s="64">
        <f>IF(Z332&lt;=1,0,Dashboard!$I$30-Y332)</f>
        <v>0</v>
      </c>
      <c r="AB332" s="64">
        <f t="shared" ref="AB332:AB371" si="101">IF(AA332&lt;=0,0,Z332)</f>
        <v>0</v>
      </c>
      <c r="AC332" s="1">
        <f>Dashboard!$K$28</f>
        <v>2.6800000000000001E-2</v>
      </c>
      <c r="AD332" s="28">
        <f t="shared" ref="AD332:AD371" si="102">AB332*AC332/12</f>
        <v>0</v>
      </c>
      <c r="AF332" s="2">
        <f t="shared" ref="AF332:AF371" si="103">SUM(B332,Q332,AB332)</f>
        <v>29338.25071428555</v>
      </c>
      <c r="AG332" s="62">
        <f>(B332+Q332+Z332)/Dashboard!$I$25</f>
        <v>0.1173530028571422</v>
      </c>
      <c r="AH332" s="20">
        <f t="shared" ref="AH332:AH371" si="104">IF(AG332&lt;=$C$5,0,VLOOKUP(AG332,$C$6:$E$8,3))</f>
        <v>0</v>
      </c>
      <c r="AI332" s="20">
        <f>IF($D$2="JA",Dashboard!$K$26-$AH$11+AH332,Dashboard!$K$26)</f>
        <v>2.3800000000000002E-2</v>
      </c>
      <c r="AJ332" s="27">
        <f>Tabel2[[#This Row],[Schuldrest]]*AI332/12</f>
        <v>58.187530583333007</v>
      </c>
      <c r="AK332" s="20">
        <f>IF($D$2="JA",Dashboard!$K$27-$AH$11+AH332,Dashboard!$K$27)</f>
        <v>2.3800000000000002E-2</v>
      </c>
      <c r="AL332" s="27">
        <f t="shared" si="90"/>
        <v>0</v>
      </c>
      <c r="AM332" s="20">
        <f>IF($D$2="JA",Dashboard!$K$28-$AH$11+AH332,Dashboard!$K$28)</f>
        <v>2.3800000000000002E-2</v>
      </c>
      <c r="AN332" s="27">
        <f t="shared" si="91"/>
        <v>0</v>
      </c>
      <c r="AO332" s="63">
        <f>Tabel2[[#This Row],[Aflossing]]+V332</f>
        <v>724.28947955922058</v>
      </c>
      <c r="AP332" s="63">
        <f t="shared" ref="AP332:AP371" si="105">AJ332+AL332+AN332</f>
        <v>58.187530583333007</v>
      </c>
      <c r="AQ332" s="2">
        <f t="shared" si="92"/>
        <v>67.417520446571586</v>
      </c>
      <c r="AU332" s="20"/>
      <c r="AV332" s="20"/>
    </row>
    <row r="333" spans="1:48">
      <c r="A333" s="71">
        <v>322</v>
      </c>
      <c r="B333" s="77">
        <f t="shared" si="93"/>
        <v>28613.961234726328</v>
      </c>
      <c r="C333" s="73">
        <f>B333/Dashboard!$I$25</f>
        <v>0.11445584493890532</v>
      </c>
      <c r="D333" s="74">
        <f t="shared" si="94"/>
        <v>0</v>
      </c>
      <c r="E333" s="73">
        <f>IF($D$2="JA",Dashboard!$K$26-$D$11+D333,Dashboard!$K$26)</f>
        <v>2.3800000000000002E-2</v>
      </c>
      <c r="F333" s="72">
        <f t="shared" si="95"/>
        <v>56.751023115540555</v>
      </c>
      <c r="G333" s="72">
        <f t="shared" ref="G333:G369" si="106">H333-F333</f>
        <v>725.72598702701282</v>
      </c>
      <c r="H333" s="72">
        <f>IFERROR(-PMT(E333^1/12,Dashboard!$I$30-A333,B333),0)</f>
        <v>782.47701014255335</v>
      </c>
      <c r="I333" s="75">
        <f t="shared" si="96"/>
        <v>782.47701014255335</v>
      </c>
      <c r="J333" s="76">
        <f t="shared" ref="J333:J370" si="107">MAX(J332-L332,0)</f>
        <v>29445.281131557986</v>
      </c>
      <c r="K333" s="76">
        <f>J333*Dashboard!$K$26/12</f>
        <v>65.761127860479505</v>
      </c>
      <c r="L333" s="76">
        <f t="shared" si="97"/>
        <v>743.32471471687563</v>
      </c>
      <c r="M333" s="76">
        <f>IF(H333=0,0,IFERROR(-PMT(Dashboard!$K$26^1/12,Dashboard!$I$30,Dashboard!$I$26),0))</f>
        <v>809.08584257735515</v>
      </c>
      <c r="P333" s="59">
        <v>322</v>
      </c>
      <c r="Q333" s="28">
        <f t="shared" si="98"/>
        <v>0</v>
      </c>
      <c r="R333" s="20">
        <f>Q333/Dashboard!$I$25</f>
        <v>0</v>
      </c>
      <c r="S333" s="20">
        <f t="shared" si="99"/>
        <v>0</v>
      </c>
      <c r="T333" s="20">
        <f>IF($D$2="JA",Dashboard!$K$27-$S$11+S333,Dashboard!$K$27)</f>
        <v>2.6800000000000001E-2</v>
      </c>
      <c r="U333" s="27">
        <f t="shared" si="100"/>
        <v>0</v>
      </c>
      <c r="V333" s="26">
        <f>IF(Q333&lt;=1,0,Dashboard!$I$27/Dashboard!$I$30)</f>
        <v>0</v>
      </c>
      <c r="W333" s="28">
        <f>Q333*Dashboard!$K$27/12</f>
        <v>0</v>
      </c>
      <c r="Y333" s="59">
        <v>322</v>
      </c>
      <c r="Z333" s="67">
        <f>Dashboard!$I$28</f>
        <v>0</v>
      </c>
      <c r="AA333" s="64">
        <f>IF(Z333&lt;=1,0,Dashboard!$I$30-Y333)</f>
        <v>0</v>
      </c>
      <c r="AB333" s="64">
        <f t="shared" si="101"/>
        <v>0</v>
      </c>
      <c r="AC333" s="1">
        <f>Dashboard!$K$28</f>
        <v>2.6800000000000001E-2</v>
      </c>
      <c r="AD333" s="28">
        <f t="shared" si="102"/>
        <v>0</v>
      </c>
      <c r="AF333" s="2">
        <f t="shared" si="103"/>
        <v>28613.961234726328</v>
      </c>
      <c r="AG333" s="62">
        <f>(B333+Q333+Z333)/Dashboard!$I$25</f>
        <v>0.11445584493890532</v>
      </c>
      <c r="AH333" s="20">
        <f t="shared" si="104"/>
        <v>0</v>
      </c>
      <c r="AI333" s="20">
        <f>IF($D$2="JA",Dashboard!$K$26-$AH$11+AH333,Dashboard!$K$26)</f>
        <v>2.3800000000000002E-2</v>
      </c>
      <c r="AJ333" s="27">
        <f>Tabel2[[#This Row],[Schuldrest]]*AI333/12</f>
        <v>56.751023115540555</v>
      </c>
      <c r="AK333" s="20">
        <f>IF($D$2="JA",Dashboard!$K$27-$AH$11+AH333,Dashboard!$K$27)</f>
        <v>2.3800000000000002E-2</v>
      </c>
      <c r="AL333" s="27">
        <f t="shared" si="90"/>
        <v>0</v>
      </c>
      <c r="AM333" s="20">
        <f>IF($D$2="JA",Dashboard!$K$28-$AH$11+AH333,Dashboard!$K$28)</f>
        <v>2.3800000000000002E-2</v>
      </c>
      <c r="AN333" s="27">
        <f t="shared" si="91"/>
        <v>0</v>
      </c>
      <c r="AO333" s="63">
        <f>Tabel2[[#This Row],[Aflossing]]+V333</f>
        <v>725.72598702701282</v>
      </c>
      <c r="AP333" s="63">
        <f t="shared" si="105"/>
        <v>56.751023115540555</v>
      </c>
      <c r="AQ333" s="2">
        <f t="shared" si="92"/>
        <v>65.761127860479505</v>
      </c>
      <c r="AU333" s="20"/>
      <c r="AV333" s="20"/>
    </row>
    <row r="334" spans="1:48">
      <c r="A334" s="71">
        <v>323</v>
      </c>
      <c r="B334" s="77">
        <f t="shared" si="93"/>
        <v>27888.235247699315</v>
      </c>
      <c r="C334" s="73">
        <f>B334/Dashboard!$I$25</f>
        <v>0.11155294099079725</v>
      </c>
      <c r="D334" s="74">
        <f t="shared" si="94"/>
        <v>0</v>
      </c>
      <c r="E334" s="73">
        <f>IF($D$2="JA",Dashboard!$K$26-$D$11+D334,Dashboard!$K$26)</f>
        <v>2.3800000000000002E-2</v>
      </c>
      <c r="F334" s="72">
        <f t="shared" si="95"/>
        <v>55.311666574603642</v>
      </c>
      <c r="G334" s="72">
        <f t="shared" si="106"/>
        <v>727.16534356794989</v>
      </c>
      <c r="H334" s="72">
        <f>IFERROR(-PMT(E334^1/12,Dashboard!$I$30-A334,B334),0)</f>
        <v>782.47701014255358</v>
      </c>
      <c r="I334" s="75">
        <f t="shared" si="96"/>
        <v>782.47701014255358</v>
      </c>
      <c r="J334" s="76">
        <f t="shared" si="107"/>
        <v>28701.956416841109</v>
      </c>
      <c r="K334" s="76">
        <f>J334*Dashboard!$K$26/12</f>
        <v>64.101035997611817</v>
      </c>
      <c r="L334" s="76">
        <f t="shared" si="97"/>
        <v>744.98480657974335</v>
      </c>
      <c r="M334" s="76">
        <f>IF(H334=0,0,IFERROR(-PMT(Dashboard!$K$26^1/12,Dashboard!$I$30,Dashboard!$I$26),0))</f>
        <v>809.08584257735515</v>
      </c>
      <c r="P334" s="59">
        <v>323</v>
      </c>
      <c r="Q334" s="28">
        <f t="shared" si="98"/>
        <v>0</v>
      </c>
      <c r="R334" s="20">
        <f>Q334/Dashboard!$I$25</f>
        <v>0</v>
      </c>
      <c r="S334" s="20">
        <f t="shared" si="99"/>
        <v>0</v>
      </c>
      <c r="T334" s="20">
        <f>IF($D$2="JA",Dashboard!$K$27-$S$11+S334,Dashboard!$K$27)</f>
        <v>2.6800000000000001E-2</v>
      </c>
      <c r="U334" s="27">
        <f t="shared" si="100"/>
        <v>0</v>
      </c>
      <c r="V334" s="26">
        <f>IF(Q334&lt;=1,0,Dashboard!$I$27/Dashboard!$I$30)</f>
        <v>0</v>
      </c>
      <c r="W334" s="28">
        <f>Q334*Dashboard!$K$27/12</f>
        <v>0</v>
      </c>
      <c r="Y334" s="59">
        <v>323</v>
      </c>
      <c r="Z334" s="67">
        <f>Dashboard!$I$28</f>
        <v>0</v>
      </c>
      <c r="AA334" s="64">
        <f>IF(Z334&lt;=1,0,Dashboard!$I$30-Y334)</f>
        <v>0</v>
      </c>
      <c r="AB334" s="64">
        <f t="shared" si="101"/>
        <v>0</v>
      </c>
      <c r="AC334" s="1">
        <f>Dashboard!$K$28</f>
        <v>2.6800000000000001E-2</v>
      </c>
      <c r="AD334" s="28">
        <f t="shared" si="102"/>
        <v>0</v>
      </c>
      <c r="AF334" s="2">
        <f t="shared" si="103"/>
        <v>27888.235247699315</v>
      </c>
      <c r="AG334" s="62">
        <f>(B334+Q334+Z334)/Dashboard!$I$25</f>
        <v>0.11155294099079725</v>
      </c>
      <c r="AH334" s="20">
        <f t="shared" si="104"/>
        <v>0</v>
      </c>
      <c r="AI334" s="20">
        <f>IF($D$2="JA",Dashboard!$K$26-$AH$11+AH334,Dashboard!$K$26)</f>
        <v>2.3800000000000002E-2</v>
      </c>
      <c r="AJ334" s="27">
        <f>Tabel2[[#This Row],[Schuldrest]]*AI334/12</f>
        <v>55.311666574603642</v>
      </c>
      <c r="AK334" s="20">
        <f>IF($D$2="JA",Dashboard!$K$27-$AH$11+AH334,Dashboard!$K$27)</f>
        <v>2.3800000000000002E-2</v>
      </c>
      <c r="AL334" s="27">
        <f t="shared" si="90"/>
        <v>0</v>
      </c>
      <c r="AM334" s="20">
        <f>IF($D$2="JA",Dashboard!$K$28-$AH$11+AH334,Dashboard!$K$28)</f>
        <v>2.3800000000000002E-2</v>
      </c>
      <c r="AN334" s="27">
        <f t="shared" si="91"/>
        <v>0</v>
      </c>
      <c r="AO334" s="63">
        <f>Tabel2[[#This Row],[Aflossing]]+V334</f>
        <v>727.16534356794989</v>
      </c>
      <c r="AP334" s="63">
        <f t="shared" si="105"/>
        <v>55.311666574603642</v>
      </c>
      <c r="AQ334" s="2">
        <f t="shared" si="92"/>
        <v>64.101035997611817</v>
      </c>
      <c r="AU334" s="20"/>
      <c r="AV334" s="20"/>
    </row>
    <row r="335" spans="1:48">
      <c r="A335" s="71">
        <v>324</v>
      </c>
      <c r="B335" s="77">
        <f t="shared" si="93"/>
        <v>27161.069904131364</v>
      </c>
      <c r="C335" s="73">
        <f>B335/Dashboard!$I$25</f>
        <v>0.10864427961652545</v>
      </c>
      <c r="D335" s="74">
        <f t="shared" si="94"/>
        <v>0</v>
      </c>
      <c r="E335" s="73">
        <f>IF($D$2="JA",Dashboard!$K$26-$D$11+D335,Dashboard!$K$26)</f>
        <v>2.3800000000000002E-2</v>
      </c>
      <c r="F335" s="72">
        <f t="shared" si="95"/>
        <v>53.869455309860541</v>
      </c>
      <c r="G335" s="72">
        <f t="shared" si="106"/>
        <v>728.60755483269281</v>
      </c>
      <c r="H335" s="72">
        <f>IFERROR(-PMT(E335^1/12,Dashboard!$I$30-A335,B335),0)</f>
        <v>782.47701014255335</v>
      </c>
      <c r="I335" s="75">
        <f t="shared" si="96"/>
        <v>782.47701014255335</v>
      </c>
      <c r="J335" s="76">
        <f t="shared" si="107"/>
        <v>27956.971610261364</v>
      </c>
      <c r="K335" s="76">
        <f>J335*Dashboard!$K$26/12</f>
        <v>62.437236596250379</v>
      </c>
      <c r="L335" s="76">
        <f t="shared" si="97"/>
        <v>746.64860598110477</v>
      </c>
      <c r="M335" s="76">
        <f>IF(H335=0,0,IFERROR(-PMT(Dashboard!$K$26^1/12,Dashboard!$I$30,Dashboard!$I$26),0))</f>
        <v>809.08584257735515</v>
      </c>
      <c r="P335" s="59">
        <v>324</v>
      </c>
      <c r="Q335" s="28">
        <f t="shared" si="98"/>
        <v>0</v>
      </c>
      <c r="R335" s="20">
        <f>Q335/Dashboard!$I$25</f>
        <v>0</v>
      </c>
      <c r="S335" s="20">
        <f t="shared" si="99"/>
        <v>0</v>
      </c>
      <c r="T335" s="20">
        <f>IF($D$2="JA",Dashboard!$K$27-$S$11+S335,Dashboard!$K$27)</f>
        <v>2.6800000000000001E-2</v>
      </c>
      <c r="U335" s="27">
        <f t="shared" si="100"/>
        <v>0</v>
      </c>
      <c r="V335" s="26">
        <f>IF(Q335&lt;=1,0,Dashboard!$I$27/Dashboard!$I$30)</f>
        <v>0</v>
      </c>
      <c r="W335" s="28">
        <f>Q335*Dashboard!$K$27/12</f>
        <v>0</v>
      </c>
      <c r="Y335" s="59">
        <v>324</v>
      </c>
      <c r="Z335" s="67">
        <f>Dashboard!$I$28</f>
        <v>0</v>
      </c>
      <c r="AA335" s="64">
        <f>IF(Z335&lt;=1,0,Dashboard!$I$30-Y335)</f>
        <v>0</v>
      </c>
      <c r="AB335" s="64">
        <f t="shared" si="101"/>
        <v>0</v>
      </c>
      <c r="AC335" s="1">
        <f>Dashboard!$K$28</f>
        <v>2.6800000000000001E-2</v>
      </c>
      <c r="AD335" s="28">
        <f t="shared" si="102"/>
        <v>0</v>
      </c>
      <c r="AF335" s="2">
        <f t="shared" si="103"/>
        <v>27161.069904131364</v>
      </c>
      <c r="AG335" s="62">
        <f>(B335+Q335+Z335)/Dashboard!$I$25</f>
        <v>0.10864427961652545</v>
      </c>
      <c r="AH335" s="20">
        <f t="shared" si="104"/>
        <v>0</v>
      </c>
      <c r="AI335" s="20">
        <f>IF($D$2="JA",Dashboard!$K$26-$AH$11+AH335,Dashboard!$K$26)</f>
        <v>2.3800000000000002E-2</v>
      </c>
      <c r="AJ335" s="27">
        <f>Tabel2[[#This Row],[Schuldrest]]*AI335/12</f>
        <v>53.869455309860541</v>
      </c>
      <c r="AK335" s="20">
        <f>IF($D$2="JA",Dashboard!$K$27-$AH$11+AH335,Dashboard!$K$27)</f>
        <v>2.3800000000000002E-2</v>
      </c>
      <c r="AL335" s="27">
        <f t="shared" si="90"/>
        <v>0</v>
      </c>
      <c r="AM335" s="20">
        <f>IF($D$2="JA",Dashboard!$K$28-$AH$11+AH335,Dashboard!$K$28)</f>
        <v>2.3800000000000002E-2</v>
      </c>
      <c r="AN335" s="27">
        <f t="shared" si="91"/>
        <v>0</v>
      </c>
      <c r="AO335" s="63">
        <f>Tabel2[[#This Row],[Aflossing]]+V335</f>
        <v>728.60755483269281</v>
      </c>
      <c r="AP335" s="63">
        <f t="shared" si="105"/>
        <v>53.869455309860541</v>
      </c>
      <c r="AQ335" s="2">
        <f t="shared" si="92"/>
        <v>62.437236596250379</v>
      </c>
      <c r="AU335" s="20"/>
      <c r="AV335" s="20"/>
    </row>
    <row r="336" spans="1:48">
      <c r="A336" s="71">
        <v>325</v>
      </c>
      <c r="B336" s="77">
        <f t="shared" si="93"/>
        <v>26432.462349298672</v>
      </c>
      <c r="C336" s="73">
        <f>B336/Dashboard!$I$25</f>
        <v>0.10572984939719469</v>
      </c>
      <c r="D336" s="74">
        <f t="shared" si="94"/>
        <v>0</v>
      </c>
      <c r="E336" s="73">
        <f>IF($D$2="JA",Dashboard!$K$26-$D$11+D336,Dashboard!$K$26)</f>
        <v>2.3800000000000002E-2</v>
      </c>
      <c r="F336" s="72">
        <f t="shared" si="95"/>
        <v>52.424383659442377</v>
      </c>
      <c r="G336" s="72">
        <f t="shared" si="106"/>
        <v>730.052626483111</v>
      </c>
      <c r="H336" s="72">
        <f>IFERROR(-PMT(E336^1/12,Dashboard!$I$30-A336,B336),0)</f>
        <v>782.47701014255335</v>
      </c>
      <c r="I336" s="75">
        <f t="shared" si="96"/>
        <v>782.47701014255335</v>
      </c>
      <c r="J336" s="76">
        <f t="shared" si="107"/>
        <v>27210.323004280261</v>
      </c>
      <c r="K336" s="76">
        <f>J336*Dashboard!$K$26/12</f>
        <v>60.769721376225924</v>
      </c>
      <c r="L336" s="76">
        <f t="shared" si="97"/>
        <v>748.31612120112925</v>
      </c>
      <c r="M336" s="76">
        <f>IF(H336=0,0,IFERROR(-PMT(Dashboard!$K$26^1/12,Dashboard!$I$30,Dashboard!$I$26),0))</f>
        <v>809.08584257735515</v>
      </c>
      <c r="P336" s="59">
        <v>325</v>
      </c>
      <c r="Q336" s="28">
        <f t="shared" si="98"/>
        <v>0</v>
      </c>
      <c r="R336" s="20">
        <f>Q336/Dashboard!$I$25</f>
        <v>0</v>
      </c>
      <c r="S336" s="20">
        <f t="shared" si="99"/>
        <v>0</v>
      </c>
      <c r="T336" s="20">
        <f>IF($D$2="JA",Dashboard!$K$27-$S$11+S336,Dashboard!$K$27)</f>
        <v>2.6800000000000001E-2</v>
      </c>
      <c r="U336" s="27">
        <f t="shared" si="100"/>
        <v>0</v>
      </c>
      <c r="V336" s="26">
        <f>IF(Q336&lt;=1,0,Dashboard!$I$27/Dashboard!$I$30)</f>
        <v>0</v>
      </c>
      <c r="W336" s="28">
        <f>Q336*Dashboard!$K$27/12</f>
        <v>0</v>
      </c>
      <c r="Y336" s="59">
        <v>325</v>
      </c>
      <c r="Z336" s="67">
        <f>Dashboard!$I$28</f>
        <v>0</v>
      </c>
      <c r="AA336" s="64">
        <f>IF(Z336&lt;=1,0,Dashboard!$I$30-Y336)</f>
        <v>0</v>
      </c>
      <c r="AB336" s="64">
        <f t="shared" si="101"/>
        <v>0</v>
      </c>
      <c r="AC336" s="1">
        <f>Dashboard!$K$28</f>
        <v>2.6800000000000001E-2</v>
      </c>
      <c r="AD336" s="28">
        <f t="shared" si="102"/>
        <v>0</v>
      </c>
      <c r="AF336" s="2">
        <f t="shared" si="103"/>
        <v>26432.462349298672</v>
      </c>
      <c r="AG336" s="62">
        <f>(B336+Q336+Z336)/Dashboard!$I$25</f>
        <v>0.10572984939719469</v>
      </c>
      <c r="AH336" s="20">
        <f t="shared" si="104"/>
        <v>0</v>
      </c>
      <c r="AI336" s="20">
        <f>IF($D$2="JA",Dashboard!$K$26-$AH$11+AH336,Dashboard!$K$26)</f>
        <v>2.3800000000000002E-2</v>
      </c>
      <c r="AJ336" s="27">
        <f>Tabel2[[#This Row],[Schuldrest]]*AI336/12</f>
        <v>52.424383659442377</v>
      </c>
      <c r="AK336" s="20">
        <f>IF($D$2="JA",Dashboard!$K$27-$AH$11+AH336,Dashboard!$K$27)</f>
        <v>2.3800000000000002E-2</v>
      </c>
      <c r="AL336" s="27">
        <f t="shared" si="90"/>
        <v>0</v>
      </c>
      <c r="AM336" s="20">
        <f>IF($D$2="JA",Dashboard!$K$28-$AH$11+AH336,Dashboard!$K$28)</f>
        <v>2.3800000000000002E-2</v>
      </c>
      <c r="AN336" s="27">
        <f t="shared" si="91"/>
        <v>0</v>
      </c>
      <c r="AO336" s="63">
        <f>Tabel2[[#This Row],[Aflossing]]+V336</f>
        <v>730.052626483111</v>
      </c>
      <c r="AP336" s="63">
        <f t="shared" si="105"/>
        <v>52.424383659442377</v>
      </c>
      <c r="AQ336" s="2">
        <f t="shared" si="92"/>
        <v>60.769721376225924</v>
      </c>
      <c r="AU336" s="20"/>
      <c r="AV336" s="20"/>
    </row>
    <row r="337" spans="1:48">
      <c r="A337" s="71">
        <v>326</v>
      </c>
      <c r="B337" s="77">
        <f t="shared" si="93"/>
        <v>25702.409722815562</v>
      </c>
      <c r="C337" s="73">
        <f>B337/Dashboard!$I$25</f>
        <v>0.10280963889126225</v>
      </c>
      <c r="D337" s="74">
        <f t="shared" si="94"/>
        <v>0</v>
      </c>
      <c r="E337" s="73">
        <f>IF($D$2="JA",Dashboard!$K$26-$D$11+D337,Dashboard!$K$26)</f>
        <v>2.3800000000000002E-2</v>
      </c>
      <c r="F337" s="72">
        <f t="shared" si="95"/>
        <v>50.97644595025087</v>
      </c>
      <c r="G337" s="72">
        <f t="shared" si="106"/>
        <v>731.5005641923027</v>
      </c>
      <c r="H337" s="72">
        <f>IFERROR(-PMT(E337^1/12,Dashboard!$I$30-A337,B337),0)</f>
        <v>782.47701014255358</v>
      </c>
      <c r="I337" s="75">
        <f t="shared" si="96"/>
        <v>782.47701014255358</v>
      </c>
      <c r="J337" s="76">
        <f t="shared" si="107"/>
        <v>26462.006883079132</v>
      </c>
      <c r="K337" s="76">
        <f>J337*Dashboard!$K$26/12</f>
        <v>59.098482038876732</v>
      </c>
      <c r="L337" s="76">
        <f t="shared" si="97"/>
        <v>749.98736053847847</v>
      </c>
      <c r="M337" s="76">
        <f>IF(H337=0,0,IFERROR(-PMT(Dashboard!$K$26^1/12,Dashboard!$I$30,Dashboard!$I$26),0))</f>
        <v>809.08584257735515</v>
      </c>
      <c r="P337" s="59">
        <v>326</v>
      </c>
      <c r="Q337" s="28">
        <f t="shared" si="98"/>
        <v>0</v>
      </c>
      <c r="R337" s="20">
        <f>Q337/Dashboard!$I$25</f>
        <v>0</v>
      </c>
      <c r="S337" s="20">
        <f t="shared" si="99"/>
        <v>0</v>
      </c>
      <c r="T337" s="20">
        <f>IF($D$2="JA",Dashboard!$K$27-$S$11+S337,Dashboard!$K$27)</f>
        <v>2.6800000000000001E-2</v>
      </c>
      <c r="U337" s="27">
        <f t="shared" si="100"/>
        <v>0</v>
      </c>
      <c r="V337" s="26">
        <f>IF(Q337&lt;=1,0,Dashboard!$I$27/Dashboard!$I$30)</f>
        <v>0</v>
      </c>
      <c r="W337" s="28">
        <f>Q337*Dashboard!$K$27/12</f>
        <v>0</v>
      </c>
      <c r="Y337" s="59">
        <v>326</v>
      </c>
      <c r="Z337" s="67">
        <f>Dashboard!$I$28</f>
        <v>0</v>
      </c>
      <c r="AA337" s="64">
        <f>IF(Z337&lt;=1,0,Dashboard!$I$30-Y337)</f>
        <v>0</v>
      </c>
      <c r="AB337" s="64">
        <f t="shared" si="101"/>
        <v>0</v>
      </c>
      <c r="AC337" s="1">
        <f>Dashboard!$K$28</f>
        <v>2.6800000000000001E-2</v>
      </c>
      <c r="AD337" s="28">
        <f t="shared" si="102"/>
        <v>0</v>
      </c>
      <c r="AF337" s="2">
        <f t="shared" si="103"/>
        <v>25702.409722815562</v>
      </c>
      <c r="AG337" s="62">
        <f>(B337+Q337+Z337)/Dashboard!$I$25</f>
        <v>0.10280963889126225</v>
      </c>
      <c r="AH337" s="20">
        <f t="shared" si="104"/>
        <v>0</v>
      </c>
      <c r="AI337" s="20">
        <f>IF($D$2="JA",Dashboard!$K$26-$AH$11+AH337,Dashboard!$K$26)</f>
        <v>2.3800000000000002E-2</v>
      </c>
      <c r="AJ337" s="27">
        <f>Tabel2[[#This Row],[Schuldrest]]*AI337/12</f>
        <v>50.97644595025087</v>
      </c>
      <c r="AK337" s="20">
        <f>IF($D$2="JA",Dashboard!$K$27-$AH$11+AH337,Dashboard!$K$27)</f>
        <v>2.3800000000000002E-2</v>
      </c>
      <c r="AL337" s="27">
        <f t="shared" si="90"/>
        <v>0</v>
      </c>
      <c r="AM337" s="20">
        <f>IF($D$2="JA",Dashboard!$K$28-$AH$11+AH337,Dashboard!$K$28)</f>
        <v>2.3800000000000002E-2</v>
      </c>
      <c r="AN337" s="27">
        <f t="shared" si="91"/>
        <v>0</v>
      </c>
      <c r="AO337" s="63">
        <f>Tabel2[[#This Row],[Aflossing]]+V337</f>
        <v>731.5005641923027</v>
      </c>
      <c r="AP337" s="63">
        <f t="shared" si="105"/>
        <v>50.97644595025087</v>
      </c>
      <c r="AQ337" s="2">
        <f t="shared" si="92"/>
        <v>59.098482038876732</v>
      </c>
      <c r="AU337" s="20"/>
      <c r="AV337" s="20"/>
    </row>
    <row r="338" spans="1:48">
      <c r="A338" s="71">
        <v>327</v>
      </c>
      <c r="B338" s="77">
        <f t="shared" si="93"/>
        <v>24970.909158623261</v>
      </c>
      <c r="C338" s="73">
        <f>B338/Dashboard!$I$25</f>
        <v>9.9883636634493039E-2</v>
      </c>
      <c r="D338" s="74">
        <f t="shared" si="94"/>
        <v>0</v>
      </c>
      <c r="E338" s="73">
        <f>IF($D$2="JA",Dashboard!$K$26-$D$11+D338,Dashboard!$K$26)</f>
        <v>2.3800000000000002E-2</v>
      </c>
      <c r="F338" s="72">
        <f t="shared" si="95"/>
        <v>49.525636497936141</v>
      </c>
      <c r="G338" s="72">
        <f t="shared" si="106"/>
        <v>732.95137364461743</v>
      </c>
      <c r="H338" s="72">
        <f>IFERROR(-PMT(E338^1/12,Dashboard!$I$30-A338,B338),0)</f>
        <v>782.47701014255358</v>
      </c>
      <c r="I338" s="75">
        <f t="shared" si="96"/>
        <v>782.47701014255358</v>
      </c>
      <c r="J338" s="76">
        <f t="shared" si="107"/>
        <v>25712.019522540653</v>
      </c>
      <c r="K338" s="76">
        <f>J338*Dashboard!$K$26/12</f>
        <v>57.423510267007458</v>
      </c>
      <c r="L338" s="76">
        <f t="shared" si="97"/>
        <v>751.66233231034767</v>
      </c>
      <c r="M338" s="76">
        <f>IF(H338=0,0,IFERROR(-PMT(Dashboard!$K$26^1/12,Dashboard!$I$30,Dashboard!$I$26),0))</f>
        <v>809.08584257735515</v>
      </c>
      <c r="P338" s="59">
        <v>327</v>
      </c>
      <c r="Q338" s="28">
        <f t="shared" si="98"/>
        <v>0</v>
      </c>
      <c r="R338" s="20">
        <f>Q338/Dashboard!$I$25</f>
        <v>0</v>
      </c>
      <c r="S338" s="20">
        <f t="shared" si="99"/>
        <v>0</v>
      </c>
      <c r="T338" s="20">
        <f>IF($D$2="JA",Dashboard!$K$27-$S$11+S338,Dashboard!$K$27)</f>
        <v>2.6800000000000001E-2</v>
      </c>
      <c r="U338" s="27">
        <f t="shared" si="100"/>
        <v>0</v>
      </c>
      <c r="V338" s="26">
        <f>IF(Q338&lt;=1,0,Dashboard!$I$27/Dashboard!$I$30)</f>
        <v>0</v>
      </c>
      <c r="W338" s="28">
        <f>Q338*Dashboard!$K$27/12</f>
        <v>0</v>
      </c>
      <c r="Y338" s="59">
        <v>327</v>
      </c>
      <c r="Z338" s="67">
        <f>Dashboard!$I$28</f>
        <v>0</v>
      </c>
      <c r="AA338" s="64">
        <f>IF(Z338&lt;=1,0,Dashboard!$I$30-Y338)</f>
        <v>0</v>
      </c>
      <c r="AB338" s="64">
        <f t="shared" si="101"/>
        <v>0</v>
      </c>
      <c r="AC338" s="1">
        <f>Dashboard!$K$28</f>
        <v>2.6800000000000001E-2</v>
      </c>
      <c r="AD338" s="28">
        <f t="shared" si="102"/>
        <v>0</v>
      </c>
      <c r="AF338" s="2">
        <f t="shared" si="103"/>
        <v>24970.909158623261</v>
      </c>
      <c r="AG338" s="62">
        <f>(B338+Q338+Z338)/Dashboard!$I$25</f>
        <v>9.9883636634493039E-2</v>
      </c>
      <c r="AH338" s="20">
        <f t="shared" si="104"/>
        <v>0</v>
      </c>
      <c r="AI338" s="20">
        <f>IF($D$2="JA",Dashboard!$K$26-$AH$11+AH338,Dashboard!$K$26)</f>
        <v>2.3800000000000002E-2</v>
      </c>
      <c r="AJ338" s="27">
        <f>Tabel2[[#This Row],[Schuldrest]]*AI338/12</f>
        <v>49.525636497936141</v>
      </c>
      <c r="AK338" s="20">
        <f>IF($D$2="JA",Dashboard!$K$27-$AH$11+AH338,Dashboard!$K$27)</f>
        <v>2.3800000000000002E-2</v>
      </c>
      <c r="AL338" s="27">
        <f t="shared" si="90"/>
        <v>0</v>
      </c>
      <c r="AM338" s="20">
        <f>IF($D$2="JA",Dashboard!$K$28-$AH$11+AH338,Dashboard!$K$28)</f>
        <v>2.3800000000000002E-2</v>
      </c>
      <c r="AN338" s="27">
        <f t="shared" si="91"/>
        <v>0</v>
      </c>
      <c r="AO338" s="63">
        <f>Tabel2[[#This Row],[Aflossing]]+V338</f>
        <v>732.95137364461743</v>
      </c>
      <c r="AP338" s="63">
        <f t="shared" si="105"/>
        <v>49.525636497936141</v>
      </c>
      <c r="AQ338" s="2">
        <f t="shared" si="92"/>
        <v>57.423510267007458</v>
      </c>
      <c r="AU338" s="20"/>
      <c r="AV338" s="20"/>
    </row>
    <row r="339" spans="1:48">
      <c r="A339" s="71">
        <v>328</v>
      </c>
      <c r="B339" s="77">
        <f t="shared" si="93"/>
        <v>24237.957784978644</v>
      </c>
      <c r="C339" s="73">
        <f>B339/Dashboard!$I$25</f>
        <v>9.6951831139914568E-2</v>
      </c>
      <c r="D339" s="74">
        <f t="shared" si="94"/>
        <v>0</v>
      </c>
      <c r="E339" s="73">
        <f>IF($D$2="JA",Dashboard!$K$26-$D$11+D339,Dashboard!$K$26)</f>
        <v>2.3800000000000002E-2</v>
      </c>
      <c r="F339" s="72">
        <f t="shared" si="95"/>
        <v>48.071949606874313</v>
      </c>
      <c r="G339" s="72">
        <f t="shared" si="106"/>
        <v>734.40506053567924</v>
      </c>
      <c r="H339" s="72">
        <f>IFERROR(-PMT(E339^1/12,Dashboard!$I$30-A339,B339),0)</f>
        <v>782.47701014255358</v>
      </c>
      <c r="I339" s="75">
        <f t="shared" si="96"/>
        <v>782.47701014255358</v>
      </c>
      <c r="J339" s="76">
        <f t="shared" si="107"/>
        <v>24960.357190230305</v>
      </c>
      <c r="K339" s="76">
        <f>J339*Dashboard!$K$26/12</f>
        <v>55.744797724847679</v>
      </c>
      <c r="L339" s="76">
        <f t="shared" si="97"/>
        <v>753.34104485250748</v>
      </c>
      <c r="M339" s="76">
        <f>IF(H339=0,0,IFERROR(-PMT(Dashboard!$K$26^1/12,Dashboard!$I$30,Dashboard!$I$26),0))</f>
        <v>809.08584257735515</v>
      </c>
      <c r="P339" s="59">
        <v>328</v>
      </c>
      <c r="Q339" s="28">
        <f t="shared" si="98"/>
        <v>0</v>
      </c>
      <c r="R339" s="20">
        <f>Q339/Dashboard!$I$25</f>
        <v>0</v>
      </c>
      <c r="S339" s="20">
        <f t="shared" si="99"/>
        <v>0</v>
      </c>
      <c r="T339" s="20">
        <f>IF($D$2="JA",Dashboard!$K$27-$S$11+S339,Dashboard!$K$27)</f>
        <v>2.6800000000000001E-2</v>
      </c>
      <c r="U339" s="27">
        <f t="shared" si="100"/>
        <v>0</v>
      </c>
      <c r="V339" s="26">
        <f>IF(Q339&lt;=1,0,Dashboard!$I$27/Dashboard!$I$30)</f>
        <v>0</v>
      </c>
      <c r="W339" s="28">
        <f>Q339*Dashboard!$K$27/12</f>
        <v>0</v>
      </c>
      <c r="Y339" s="59">
        <v>328</v>
      </c>
      <c r="Z339" s="67">
        <f>Dashboard!$I$28</f>
        <v>0</v>
      </c>
      <c r="AA339" s="64">
        <f>IF(Z339&lt;=1,0,Dashboard!$I$30-Y339)</f>
        <v>0</v>
      </c>
      <c r="AB339" s="64">
        <f t="shared" si="101"/>
        <v>0</v>
      </c>
      <c r="AC339" s="1">
        <f>Dashboard!$K$28</f>
        <v>2.6800000000000001E-2</v>
      </c>
      <c r="AD339" s="28">
        <f t="shared" si="102"/>
        <v>0</v>
      </c>
      <c r="AF339" s="2">
        <f t="shared" si="103"/>
        <v>24237.957784978644</v>
      </c>
      <c r="AG339" s="62">
        <f>(B339+Q339+Z339)/Dashboard!$I$25</f>
        <v>9.6951831139914568E-2</v>
      </c>
      <c r="AH339" s="20">
        <f t="shared" si="104"/>
        <v>0</v>
      </c>
      <c r="AI339" s="20">
        <f>IF($D$2="JA",Dashboard!$K$26-$AH$11+AH339,Dashboard!$K$26)</f>
        <v>2.3800000000000002E-2</v>
      </c>
      <c r="AJ339" s="27">
        <f>Tabel2[[#This Row],[Schuldrest]]*AI339/12</f>
        <v>48.071949606874313</v>
      </c>
      <c r="AK339" s="20">
        <f>IF($D$2="JA",Dashboard!$K$27-$AH$11+AH339,Dashboard!$K$27)</f>
        <v>2.3800000000000002E-2</v>
      </c>
      <c r="AL339" s="27">
        <f t="shared" si="90"/>
        <v>0</v>
      </c>
      <c r="AM339" s="20">
        <f>IF($D$2="JA",Dashboard!$K$28-$AH$11+AH339,Dashboard!$K$28)</f>
        <v>2.3800000000000002E-2</v>
      </c>
      <c r="AN339" s="27">
        <f t="shared" si="91"/>
        <v>0</v>
      </c>
      <c r="AO339" s="63">
        <f>Tabel2[[#This Row],[Aflossing]]+V339</f>
        <v>734.40506053567924</v>
      </c>
      <c r="AP339" s="63">
        <f t="shared" si="105"/>
        <v>48.071949606874313</v>
      </c>
      <c r="AQ339" s="2">
        <f t="shared" si="92"/>
        <v>55.744797724847679</v>
      </c>
      <c r="AU339" s="20"/>
      <c r="AV339" s="20"/>
    </row>
    <row r="340" spans="1:48">
      <c r="A340" s="71">
        <v>329</v>
      </c>
      <c r="B340" s="77">
        <f t="shared" si="93"/>
        <v>23503.552724442965</v>
      </c>
      <c r="C340" s="73">
        <f>B340/Dashboard!$I$25</f>
        <v>9.4014210897771858E-2</v>
      </c>
      <c r="D340" s="74">
        <f t="shared" si="94"/>
        <v>0</v>
      </c>
      <c r="E340" s="73">
        <f>IF($D$2="JA",Dashboard!$K$26-$D$11+D340,Dashboard!$K$26)</f>
        <v>2.3800000000000002E-2</v>
      </c>
      <c r="F340" s="72">
        <f t="shared" si="95"/>
        <v>46.615379570145215</v>
      </c>
      <c r="G340" s="72">
        <f t="shared" si="106"/>
        <v>735.86163057240833</v>
      </c>
      <c r="H340" s="72">
        <f>IFERROR(-PMT(E340^1/12,Dashboard!$I$30-A340,B340),0)</f>
        <v>782.47701014255358</v>
      </c>
      <c r="I340" s="75">
        <f t="shared" si="96"/>
        <v>782.47701014255358</v>
      </c>
      <c r="J340" s="76">
        <f t="shared" si="107"/>
        <v>24207.016145377798</v>
      </c>
      <c r="K340" s="76">
        <f>J340*Dashboard!$K$26/12</f>
        <v>54.062336058010423</v>
      </c>
      <c r="L340" s="76">
        <f t="shared" si="97"/>
        <v>755.02350651934478</v>
      </c>
      <c r="M340" s="76">
        <f>IF(H340=0,0,IFERROR(-PMT(Dashboard!$K$26^1/12,Dashboard!$I$30,Dashboard!$I$26),0))</f>
        <v>809.08584257735515</v>
      </c>
      <c r="P340" s="59">
        <v>329</v>
      </c>
      <c r="Q340" s="28">
        <f t="shared" si="98"/>
        <v>0</v>
      </c>
      <c r="R340" s="20">
        <f>Q340/Dashboard!$I$25</f>
        <v>0</v>
      </c>
      <c r="S340" s="20">
        <f t="shared" si="99"/>
        <v>0</v>
      </c>
      <c r="T340" s="20">
        <f>IF($D$2="JA",Dashboard!$K$27-$S$11+S340,Dashboard!$K$27)</f>
        <v>2.6800000000000001E-2</v>
      </c>
      <c r="U340" s="27">
        <f t="shared" si="100"/>
        <v>0</v>
      </c>
      <c r="V340" s="26">
        <f>IF(Q340&lt;=1,0,Dashboard!$I$27/Dashboard!$I$30)</f>
        <v>0</v>
      </c>
      <c r="W340" s="28">
        <f>Q340*Dashboard!$K$27/12</f>
        <v>0</v>
      </c>
      <c r="Y340" s="59">
        <v>329</v>
      </c>
      <c r="Z340" s="67">
        <f>Dashboard!$I$28</f>
        <v>0</v>
      </c>
      <c r="AA340" s="64">
        <f>IF(Z340&lt;=1,0,Dashboard!$I$30-Y340)</f>
        <v>0</v>
      </c>
      <c r="AB340" s="64">
        <f t="shared" si="101"/>
        <v>0</v>
      </c>
      <c r="AC340" s="1">
        <f>Dashboard!$K$28</f>
        <v>2.6800000000000001E-2</v>
      </c>
      <c r="AD340" s="28">
        <f t="shared" si="102"/>
        <v>0</v>
      </c>
      <c r="AF340" s="2">
        <f t="shared" si="103"/>
        <v>23503.552724442965</v>
      </c>
      <c r="AG340" s="62">
        <f>(B340+Q340+Z340)/Dashboard!$I$25</f>
        <v>9.4014210897771858E-2</v>
      </c>
      <c r="AH340" s="20">
        <f t="shared" si="104"/>
        <v>0</v>
      </c>
      <c r="AI340" s="20">
        <f>IF($D$2="JA",Dashboard!$K$26-$AH$11+AH340,Dashboard!$K$26)</f>
        <v>2.3800000000000002E-2</v>
      </c>
      <c r="AJ340" s="27">
        <f>Tabel2[[#This Row],[Schuldrest]]*AI340/12</f>
        <v>46.615379570145215</v>
      </c>
      <c r="AK340" s="20">
        <f>IF($D$2="JA",Dashboard!$K$27-$AH$11+AH340,Dashboard!$K$27)</f>
        <v>2.3800000000000002E-2</v>
      </c>
      <c r="AL340" s="27">
        <f t="shared" si="90"/>
        <v>0</v>
      </c>
      <c r="AM340" s="20">
        <f>IF($D$2="JA",Dashboard!$K$28-$AH$11+AH340,Dashboard!$K$28)</f>
        <v>2.3800000000000002E-2</v>
      </c>
      <c r="AN340" s="27">
        <f t="shared" si="91"/>
        <v>0</v>
      </c>
      <c r="AO340" s="63">
        <f>Tabel2[[#This Row],[Aflossing]]+V340</f>
        <v>735.86163057240833</v>
      </c>
      <c r="AP340" s="63">
        <f t="shared" si="105"/>
        <v>46.615379570145215</v>
      </c>
      <c r="AQ340" s="2">
        <f t="shared" si="92"/>
        <v>54.062336058010423</v>
      </c>
      <c r="AU340" s="20"/>
      <c r="AV340" s="20"/>
    </row>
    <row r="341" spans="1:48">
      <c r="A341" s="71">
        <v>330</v>
      </c>
      <c r="B341" s="77">
        <f t="shared" si="93"/>
        <v>22767.691093870555</v>
      </c>
      <c r="C341" s="73">
        <f>B341/Dashboard!$I$25</f>
        <v>9.1070764375482227E-2</v>
      </c>
      <c r="D341" s="74">
        <f t="shared" si="94"/>
        <v>0</v>
      </c>
      <c r="E341" s="73">
        <f>IF($D$2="JA",Dashboard!$K$26-$D$11+D341,Dashboard!$K$26)</f>
        <v>2.3800000000000002E-2</v>
      </c>
      <c r="F341" s="72">
        <f t="shared" si="95"/>
        <v>45.155920669509932</v>
      </c>
      <c r="G341" s="72">
        <f t="shared" si="106"/>
        <v>737.32108947304368</v>
      </c>
      <c r="H341" s="72">
        <f>IFERROR(-PMT(E341^1/12,Dashboard!$I$30-A341,B341),0)</f>
        <v>782.47701014255358</v>
      </c>
      <c r="I341" s="75">
        <f t="shared" si="96"/>
        <v>782.47701014255358</v>
      </c>
      <c r="J341" s="76">
        <f t="shared" si="107"/>
        <v>23451.992638858454</v>
      </c>
      <c r="K341" s="76">
        <f>J341*Dashboard!$K$26/12</f>
        <v>52.376116893450551</v>
      </c>
      <c r="L341" s="76">
        <f t="shared" si="97"/>
        <v>756.70972568390459</v>
      </c>
      <c r="M341" s="76">
        <f>IF(H341=0,0,IFERROR(-PMT(Dashboard!$K$26^1/12,Dashboard!$I$30,Dashboard!$I$26),0))</f>
        <v>809.08584257735515</v>
      </c>
      <c r="P341" s="59">
        <v>330</v>
      </c>
      <c r="Q341" s="28">
        <f t="shared" si="98"/>
        <v>0</v>
      </c>
      <c r="R341" s="20">
        <f>Q341/Dashboard!$I$25</f>
        <v>0</v>
      </c>
      <c r="S341" s="20">
        <f t="shared" si="99"/>
        <v>0</v>
      </c>
      <c r="T341" s="20">
        <f>IF($D$2="JA",Dashboard!$K$27-$S$11+S341,Dashboard!$K$27)</f>
        <v>2.6800000000000001E-2</v>
      </c>
      <c r="U341" s="27">
        <f t="shared" si="100"/>
        <v>0</v>
      </c>
      <c r="V341" s="26">
        <f>IF(Q341&lt;=1,0,Dashboard!$I$27/Dashboard!$I$30)</f>
        <v>0</v>
      </c>
      <c r="W341" s="28">
        <f>Q341*Dashboard!$K$27/12</f>
        <v>0</v>
      </c>
      <c r="Y341" s="59">
        <v>330</v>
      </c>
      <c r="Z341" s="67">
        <f>Dashboard!$I$28</f>
        <v>0</v>
      </c>
      <c r="AA341" s="64">
        <f>IF(Z341&lt;=1,0,Dashboard!$I$30-Y341)</f>
        <v>0</v>
      </c>
      <c r="AB341" s="64">
        <f t="shared" si="101"/>
        <v>0</v>
      </c>
      <c r="AC341" s="1">
        <f>Dashboard!$K$28</f>
        <v>2.6800000000000001E-2</v>
      </c>
      <c r="AD341" s="28">
        <f t="shared" si="102"/>
        <v>0</v>
      </c>
      <c r="AF341" s="2">
        <f t="shared" si="103"/>
        <v>22767.691093870555</v>
      </c>
      <c r="AG341" s="62">
        <f>(B341+Q341+Z341)/Dashboard!$I$25</f>
        <v>9.1070764375482227E-2</v>
      </c>
      <c r="AH341" s="20">
        <f t="shared" si="104"/>
        <v>0</v>
      </c>
      <c r="AI341" s="20">
        <f>IF($D$2="JA",Dashboard!$K$26-$AH$11+AH341,Dashboard!$K$26)</f>
        <v>2.3800000000000002E-2</v>
      </c>
      <c r="AJ341" s="27">
        <f>Tabel2[[#This Row],[Schuldrest]]*AI341/12</f>
        <v>45.155920669509932</v>
      </c>
      <c r="AK341" s="20">
        <f>IF($D$2="JA",Dashboard!$K$27-$AH$11+AH341,Dashboard!$K$27)</f>
        <v>2.3800000000000002E-2</v>
      </c>
      <c r="AL341" s="27">
        <f t="shared" si="90"/>
        <v>0</v>
      </c>
      <c r="AM341" s="20">
        <f>IF($D$2="JA",Dashboard!$K$28-$AH$11+AH341,Dashboard!$K$28)</f>
        <v>2.3800000000000002E-2</v>
      </c>
      <c r="AN341" s="27">
        <f t="shared" si="91"/>
        <v>0</v>
      </c>
      <c r="AO341" s="63">
        <f>Tabel2[[#This Row],[Aflossing]]+V341</f>
        <v>737.32108947304368</v>
      </c>
      <c r="AP341" s="63">
        <f t="shared" si="105"/>
        <v>45.155920669509932</v>
      </c>
      <c r="AQ341" s="2">
        <f t="shared" si="92"/>
        <v>52.376116893450551</v>
      </c>
      <c r="AU341" s="20"/>
      <c r="AV341" s="20"/>
    </row>
    <row r="342" spans="1:48">
      <c r="A342" s="71">
        <v>331</v>
      </c>
      <c r="B342" s="77">
        <f t="shared" si="93"/>
        <v>22030.370004397511</v>
      </c>
      <c r="C342" s="73">
        <f>B342/Dashboard!$I$25</f>
        <v>8.8121480017590043E-2</v>
      </c>
      <c r="D342" s="74">
        <f t="shared" si="94"/>
        <v>0</v>
      </c>
      <c r="E342" s="73">
        <f>IF($D$2="JA",Dashboard!$K$26-$D$11+D342,Dashboard!$K$26)</f>
        <v>2.3800000000000002E-2</v>
      </c>
      <c r="F342" s="72">
        <f t="shared" si="95"/>
        <v>43.693567175388402</v>
      </c>
      <c r="G342" s="72">
        <f t="shared" si="106"/>
        <v>738.783442967165</v>
      </c>
      <c r="H342" s="72">
        <f>IFERROR(-PMT(E342^1/12,Dashboard!$I$30-A342,B342),0)</f>
        <v>782.47701014255335</v>
      </c>
      <c r="I342" s="75">
        <f t="shared" si="96"/>
        <v>782.47701014255335</v>
      </c>
      <c r="J342" s="76">
        <f t="shared" si="107"/>
        <v>22695.282913174549</v>
      </c>
      <c r="K342" s="76">
        <f>J342*Dashboard!$K$26/12</f>
        <v>50.686131839423162</v>
      </c>
      <c r="L342" s="76">
        <f t="shared" si="97"/>
        <v>758.39971073793197</v>
      </c>
      <c r="M342" s="76">
        <f>IF(H342=0,0,IFERROR(-PMT(Dashboard!$K$26^1/12,Dashboard!$I$30,Dashboard!$I$26),0))</f>
        <v>809.08584257735515</v>
      </c>
      <c r="P342" s="59">
        <v>331</v>
      </c>
      <c r="Q342" s="28">
        <f t="shared" si="98"/>
        <v>0</v>
      </c>
      <c r="R342" s="20">
        <f>Q342/Dashboard!$I$25</f>
        <v>0</v>
      </c>
      <c r="S342" s="20">
        <f t="shared" si="99"/>
        <v>0</v>
      </c>
      <c r="T342" s="20">
        <f>IF($D$2="JA",Dashboard!$K$27-$S$11+S342,Dashboard!$K$27)</f>
        <v>2.6800000000000001E-2</v>
      </c>
      <c r="U342" s="27">
        <f t="shared" si="100"/>
        <v>0</v>
      </c>
      <c r="V342" s="26">
        <f>IF(Q342&lt;=1,0,Dashboard!$I$27/Dashboard!$I$30)</f>
        <v>0</v>
      </c>
      <c r="W342" s="28">
        <f>Q342*Dashboard!$K$27/12</f>
        <v>0</v>
      </c>
      <c r="Y342" s="59">
        <v>331</v>
      </c>
      <c r="Z342" s="67">
        <f>Dashboard!$I$28</f>
        <v>0</v>
      </c>
      <c r="AA342" s="64">
        <f>IF(Z342&lt;=1,0,Dashboard!$I$30-Y342)</f>
        <v>0</v>
      </c>
      <c r="AB342" s="64">
        <f t="shared" si="101"/>
        <v>0</v>
      </c>
      <c r="AC342" s="1">
        <f>Dashboard!$K$28</f>
        <v>2.6800000000000001E-2</v>
      </c>
      <c r="AD342" s="28">
        <f t="shared" si="102"/>
        <v>0</v>
      </c>
      <c r="AF342" s="2">
        <f t="shared" si="103"/>
        <v>22030.370004397511</v>
      </c>
      <c r="AG342" s="62">
        <f>(B342+Q342+Z342)/Dashboard!$I$25</f>
        <v>8.8121480017590043E-2</v>
      </c>
      <c r="AH342" s="20">
        <f t="shared" si="104"/>
        <v>0</v>
      </c>
      <c r="AI342" s="20">
        <f>IF($D$2="JA",Dashboard!$K$26-$AH$11+AH342,Dashboard!$K$26)</f>
        <v>2.3800000000000002E-2</v>
      </c>
      <c r="AJ342" s="27">
        <f>Tabel2[[#This Row],[Schuldrest]]*AI342/12</f>
        <v>43.693567175388402</v>
      </c>
      <c r="AK342" s="20">
        <f>IF($D$2="JA",Dashboard!$K$27-$AH$11+AH342,Dashboard!$K$27)</f>
        <v>2.3800000000000002E-2</v>
      </c>
      <c r="AL342" s="27">
        <f t="shared" si="90"/>
        <v>0</v>
      </c>
      <c r="AM342" s="20">
        <f>IF($D$2="JA",Dashboard!$K$28-$AH$11+AH342,Dashboard!$K$28)</f>
        <v>2.3800000000000002E-2</v>
      </c>
      <c r="AN342" s="27">
        <f t="shared" si="91"/>
        <v>0</v>
      </c>
      <c r="AO342" s="63">
        <f>Tabel2[[#This Row],[Aflossing]]+V342</f>
        <v>738.783442967165</v>
      </c>
      <c r="AP342" s="63">
        <f t="shared" si="105"/>
        <v>43.693567175388402</v>
      </c>
      <c r="AQ342" s="2">
        <f t="shared" si="92"/>
        <v>50.686131839423162</v>
      </c>
      <c r="AU342" s="20"/>
      <c r="AV342" s="20"/>
    </row>
    <row r="343" spans="1:48">
      <c r="A343" s="71">
        <v>332</v>
      </c>
      <c r="B343" s="77">
        <f t="shared" si="93"/>
        <v>21291.586561430348</v>
      </c>
      <c r="C343" s="73">
        <f>B343/Dashboard!$I$25</f>
        <v>8.5166346245721392E-2</v>
      </c>
      <c r="D343" s="74">
        <f t="shared" si="94"/>
        <v>0</v>
      </c>
      <c r="E343" s="73">
        <f>IF($D$2="JA",Dashboard!$K$26-$D$11+D343,Dashboard!$K$26)</f>
        <v>2.3800000000000002E-2</v>
      </c>
      <c r="F343" s="72">
        <f t="shared" si="95"/>
        <v>42.228313346836863</v>
      </c>
      <c r="G343" s="72">
        <f t="shared" si="106"/>
        <v>740.24869679571668</v>
      </c>
      <c r="H343" s="72">
        <f>IFERROR(-PMT(E343^1/12,Dashboard!$I$30-A343,B343),0)</f>
        <v>782.47701014255358</v>
      </c>
      <c r="I343" s="75">
        <f t="shared" si="96"/>
        <v>782.47701014255358</v>
      </c>
      <c r="J343" s="76">
        <f t="shared" si="107"/>
        <v>21936.883202436617</v>
      </c>
      <c r="K343" s="76">
        <f>J343*Dashboard!$K$26/12</f>
        <v>48.992372485441784</v>
      </c>
      <c r="L343" s="76">
        <f t="shared" si="97"/>
        <v>760.09347009191333</v>
      </c>
      <c r="M343" s="76">
        <f>IF(H343=0,0,IFERROR(-PMT(Dashboard!$K$26^1/12,Dashboard!$I$30,Dashboard!$I$26),0))</f>
        <v>809.08584257735515</v>
      </c>
      <c r="P343" s="59">
        <v>332</v>
      </c>
      <c r="Q343" s="28">
        <f t="shared" si="98"/>
        <v>0</v>
      </c>
      <c r="R343" s="20">
        <f>Q343/Dashboard!$I$25</f>
        <v>0</v>
      </c>
      <c r="S343" s="20">
        <f t="shared" si="99"/>
        <v>0</v>
      </c>
      <c r="T343" s="20">
        <f>IF($D$2="JA",Dashboard!$K$27-$S$11+S343,Dashboard!$K$27)</f>
        <v>2.6800000000000001E-2</v>
      </c>
      <c r="U343" s="27">
        <f t="shared" si="100"/>
        <v>0</v>
      </c>
      <c r="V343" s="26">
        <f>IF(Q343&lt;=1,0,Dashboard!$I$27/Dashboard!$I$30)</f>
        <v>0</v>
      </c>
      <c r="W343" s="28">
        <f>Q343*Dashboard!$K$27/12</f>
        <v>0</v>
      </c>
      <c r="Y343" s="59">
        <v>332</v>
      </c>
      <c r="Z343" s="67">
        <f>Dashboard!$I$28</f>
        <v>0</v>
      </c>
      <c r="AA343" s="64">
        <f>IF(Z343&lt;=1,0,Dashboard!$I$30-Y343)</f>
        <v>0</v>
      </c>
      <c r="AB343" s="64">
        <f t="shared" si="101"/>
        <v>0</v>
      </c>
      <c r="AC343" s="1">
        <f>Dashboard!$K$28</f>
        <v>2.6800000000000001E-2</v>
      </c>
      <c r="AD343" s="28">
        <f t="shared" si="102"/>
        <v>0</v>
      </c>
      <c r="AF343" s="2">
        <f t="shared" si="103"/>
        <v>21291.586561430348</v>
      </c>
      <c r="AG343" s="62">
        <f>(B343+Q343+Z343)/Dashboard!$I$25</f>
        <v>8.5166346245721392E-2</v>
      </c>
      <c r="AH343" s="20">
        <f t="shared" si="104"/>
        <v>0</v>
      </c>
      <c r="AI343" s="20">
        <f>IF($D$2="JA",Dashboard!$K$26-$AH$11+AH343,Dashboard!$K$26)</f>
        <v>2.3800000000000002E-2</v>
      </c>
      <c r="AJ343" s="27">
        <f>Tabel2[[#This Row],[Schuldrest]]*AI343/12</f>
        <v>42.228313346836863</v>
      </c>
      <c r="AK343" s="20">
        <f>IF($D$2="JA",Dashboard!$K$27-$AH$11+AH343,Dashboard!$K$27)</f>
        <v>2.3800000000000002E-2</v>
      </c>
      <c r="AL343" s="27">
        <f t="shared" si="90"/>
        <v>0</v>
      </c>
      <c r="AM343" s="20">
        <f>IF($D$2="JA",Dashboard!$K$28-$AH$11+AH343,Dashboard!$K$28)</f>
        <v>2.3800000000000002E-2</v>
      </c>
      <c r="AN343" s="27">
        <f t="shared" si="91"/>
        <v>0</v>
      </c>
      <c r="AO343" s="63">
        <f>Tabel2[[#This Row],[Aflossing]]+V343</f>
        <v>740.24869679571668</v>
      </c>
      <c r="AP343" s="63">
        <f t="shared" si="105"/>
        <v>42.228313346836863</v>
      </c>
      <c r="AQ343" s="2">
        <f t="shared" si="92"/>
        <v>48.992372485441784</v>
      </c>
      <c r="AU343" s="20"/>
      <c r="AV343" s="20"/>
    </row>
    <row r="344" spans="1:48">
      <c r="A344" s="71">
        <v>333</v>
      </c>
      <c r="B344" s="77">
        <f t="shared" si="93"/>
        <v>20551.337864634632</v>
      </c>
      <c r="C344" s="73">
        <f>B344/Dashboard!$I$25</f>
        <v>8.2205351458538523E-2</v>
      </c>
      <c r="D344" s="74">
        <f t="shared" si="94"/>
        <v>0</v>
      </c>
      <c r="E344" s="73">
        <f>IF($D$2="JA",Dashboard!$K$26-$D$11+D344,Dashboard!$K$26)</f>
        <v>2.3800000000000002E-2</v>
      </c>
      <c r="F344" s="72">
        <f t="shared" si="95"/>
        <v>40.76015343152536</v>
      </c>
      <c r="G344" s="72">
        <f t="shared" si="106"/>
        <v>741.71685671102819</v>
      </c>
      <c r="H344" s="72">
        <f>IFERROR(-PMT(E344^1/12,Dashboard!$I$30-A344,B344),0)</f>
        <v>782.47701014255358</v>
      </c>
      <c r="I344" s="75">
        <f t="shared" si="96"/>
        <v>782.47701014255358</v>
      </c>
      <c r="J344" s="76">
        <f t="shared" si="107"/>
        <v>21176.789732344703</v>
      </c>
      <c r="K344" s="76">
        <f>J344*Dashboard!$K$26/12</f>
        <v>47.294830402236506</v>
      </c>
      <c r="L344" s="76">
        <f t="shared" si="97"/>
        <v>761.79101217511868</v>
      </c>
      <c r="M344" s="76">
        <f>IF(H344=0,0,IFERROR(-PMT(Dashboard!$K$26^1/12,Dashboard!$I$30,Dashboard!$I$26),0))</f>
        <v>809.08584257735515</v>
      </c>
      <c r="P344" s="59">
        <v>333</v>
      </c>
      <c r="Q344" s="28">
        <f t="shared" si="98"/>
        <v>0</v>
      </c>
      <c r="R344" s="20">
        <f>Q344/Dashboard!$I$25</f>
        <v>0</v>
      </c>
      <c r="S344" s="20">
        <f t="shared" si="99"/>
        <v>0</v>
      </c>
      <c r="T344" s="20">
        <f>IF($D$2="JA",Dashboard!$K$27-$S$11+S344,Dashboard!$K$27)</f>
        <v>2.6800000000000001E-2</v>
      </c>
      <c r="U344" s="27">
        <f t="shared" si="100"/>
        <v>0</v>
      </c>
      <c r="V344" s="26">
        <f>IF(Q344&lt;=1,0,Dashboard!$I$27/Dashboard!$I$30)</f>
        <v>0</v>
      </c>
      <c r="W344" s="28">
        <f>Q344*Dashboard!$K$27/12</f>
        <v>0</v>
      </c>
      <c r="Y344" s="59">
        <v>333</v>
      </c>
      <c r="Z344" s="67">
        <f>Dashboard!$I$28</f>
        <v>0</v>
      </c>
      <c r="AA344" s="64">
        <f>IF(Z344&lt;=1,0,Dashboard!$I$30-Y344)</f>
        <v>0</v>
      </c>
      <c r="AB344" s="64">
        <f t="shared" si="101"/>
        <v>0</v>
      </c>
      <c r="AC344" s="1">
        <f>Dashboard!$K$28</f>
        <v>2.6800000000000001E-2</v>
      </c>
      <c r="AD344" s="28">
        <f t="shared" si="102"/>
        <v>0</v>
      </c>
      <c r="AF344" s="2">
        <f t="shared" si="103"/>
        <v>20551.337864634632</v>
      </c>
      <c r="AG344" s="62">
        <f>(B344+Q344+Z344)/Dashboard!$I$25</f>
        <v>8.2205351458538523E-2</v>
      </c>
      <c r="AH344" s="20">
        <f t="shared" si="104"/>
        <v>0</v>
      </c>
      <c r="AI344" s="20">
        <f>IF($D$2="JA",Dashboard!$K$26-$AH$11+AH344,Dashboard!$K$26)</f>
        <v>2.3800000000000002E-2</v>
      </c>
      <c r="AJ344" s="27">
        <f>Tabel2[[#This Row],[Schuldrest]]*AI344/12</f>
        <v>40.76015343152536</v>
      </c>
      <c r="AK344" s="20">
        <f>IF($D$2="JA",Dashboard!$K$27-$AH$11+AH344,Dashboard!$K$27)</f>
        <v>2.3800000000000002E-2</v>
      </c>
      <c r="AL344" s="27">
        <f t="shared" si="90"/>
        <v>0</v>
      </c>
      <c r="AM344" s="20">
        <f>IF($D$2="JA",Dashboard!$K$28-$AH$11+AH344,Dashboard!$K$28)</f>
        <v>2.3800000000000002E-2</v>
      </c>
      <c r="AN344" s="27">
        <f t="shared" si="91"/>
        <v>0</v>
      </c>
      <c r="AO344" s="63">
        <f>Tabel2[[#This Row],[Aflossing]]+V344</f>
        <v>741.71685671102819</v>
      </c>
      <c r="AP344" s="63">
        <f t="shared" si="105"/>
        <v>40.76015343152536</v>
      </c>
      <c r="AQ344" s="2">
        <f t="shared" si="92"/>
        <v>47.294830402236506</v>
      </c>
      <c r="AU344" s="20"/>
      <c r="AV344" s="20"/>
    </row>
    <row r="345" spans="1:48">
      <c r="A345" s="71">
        <v>334</v>
      </c>
      <c r="B345" s="77">
        <f t="shared" si="93"/>
        <v>19809.621007923604</v>
      </c>
      <c r="C345" s="73">
        <f>B345/Dashboard!$I$25</f>
        <v>7.9238484031694423E-2</v>
      </c>
      <c r="D345" s="74">
        <f t="shared" si="94"/>
        <v>0</v>
      </c>
      <c r="E345" s="73">
        <f>IF($D$2="JA",Dashboard!$K$26-$D$11+D345,Dashboard!$K$26)</f>
        <v>2.3800000000000002E-2</v>
      </c>
      <c r="F345" s="72">
        <f t="shared" si="95"/>
        <v>39.289081665715152</v>
      </c>
      <c r="G345" s="72">
        <f t="shared" si="106"/>
        <v>743.18792847683847</v>
      </c>
      <c r="H345" s="72">
        <f>IFERROR(-PMT(E345^1/12,Dashboard!$I$30-A345,B345),0)</f>
        <v>782.47701014255358</v>
      </c>
      <c r="I345" s="75">
        <f t="shared" si="96"/>
        <v>782.47701014255358</v>
      </c>
      <c r="J345" s="76">
        <f t="shared" si="107"/>
        <v>20414.998720169584</v>
      </c>
      <c r="K345" s="76">
        <f>J345*Dashboard!$K$26/12</f>
        <v>45.593497141712071</v>
      </c>
      <c r="L345" s="76">
        <f t="shared" si="97"/>
        <v>763.49234543564307</v>
      </c>
      <c r="M345" s="76">
        <f>IF(H345=0,0,IFERROR(-PMT(Dashboard!$K$26^1/12,Dashboard!$I$30,Dashboard!$I$26),0))</f>
        <v>809.08584257735515</v>
      </c>
      <c r="P345" s="59">
        <v>334</v>
      </c>
      <c r="Q345" s="28">
        <f t="shared" si="98"/>
        <v>0</v>
      </c>
      <c r="R345" s="20">
        <f>Q345/Dashboard!$I$25</f>
        <v>0</v>
      </c>
      <c r="S345" s="20">
        <f t="shared" si="99"/>
        <v>0</v>
      </c>
      <c r="T345" s="20">
        <f>IF($D$2="JA",Dashboard!$K$27-$S$11+S345,Dashboard!$K$27)</f>
        <v>2.6800000000000001E-2</v>
      </c>
      <c r="U345" s="27">
        <f t="shared" si="100"/>
        <v>0</v>
      </c>
      <c r="V345" s="26">
        <f>IF(Q345&lt;=1,0,Dashboard!$I$27/Dashboard!$I$30)</f>
        <v>0</v>
      </c>
      <c r="W345" s="28">
        <f>Q345*Dashboard!$K$27/12</f>
        <v>0</v>
      </c>
      <c r="Y345" s="59">
        <v>334</v>
      </c>
      <c r="Z345" s="67">
        <f>Dashboard!$I$28</f>
        <v>0</v>
      </c>
      <c r="AA345" s="64">
        <f>IF(Z345&lt;=1,0,Dashboard!$I$30-Y345)</f>
        <v>0</v>
      </c>
      <c r="AB345" s="64">
        <f t="shared" si="101"/>
        <v>0</v>
      </c>
      <c r="AC345" s="1">
        <f>Dashboard!$K$28</f>
        <v>2.6800000000000001E-2</v>
      </c>
      <c r="AD345" s="28">
        <f t="shared" si="102"/>
        <v>0</v>
      </c>
      <c r="AF345" s="2">
        <f t="shared" si="103"/>
        <v>19809.621007923604</v>
      </c>
      <c r="AG345" s="62">
        <f>(B345+Q345+Z345)/Dashboard!$I$25</f>
        <v>7.9238484031694423E-2</v>
      </c>
      <c r="AH345" s="20">
        <f t="shared" si="104"/>
        <v>0</v>
      </c>
      <c r="AI345" s="20">
        <f>IF($D$2="JA",Dashboard!$K$26-$AH$11+AH345,Dashboard!$K$26)</f>
        <v>2.3800000000000002E-2</v>
      </c>
      <c r="AJ345" s="27">
        <f>Tabel2[[#This Row],[Schuldrest]]*AI345/12</f>
        <v>39.289081665715152</v>
      </c>
      <c r="AK345" s="20">
        <f>IF($D$2="JA",Dashboard!$K$27-$AH$11+AH345,Dashboard!$K$27)</f>
        <v>2.3800000000000002E-2</v>
      </c>
      <c r="AL345" s="27">
        <f t="shared" si="90"/>
        <v>0</v>
      </c>
      <c r="AM345" s="20">
        <f>IF($D$2="JA",Dashboard!$K$28-$AH$11+AH345,Dashboard!$K$28)</f>
        <v>2.3800000000000002E-2</v>
      </c>
      <c r="AN345" s="27">
        <f t="shared" si="91"/>
        <v>0</v>
      </c>
      <c r="AO345" s="63">
        <f>Tabel2[[#This Row],[Aflossing]]+V345</f>
        <v>743.18792847683847</v>
      </c>
      <c r="AP345" s="63">
        <f t="shared" si="105"/>
        <v>39.289081665715152</v>
      </c>
      <c r="AQ345" s="2">
        <f t="shared" si="92"/>
        <v>45.593497141712071</v>
      </c>
      <c r="AU345" s="20"/>
      <c r="AV345" s="20"/>
    </row>
    <row r="346" spans="1:48">
      <c r="A346" s="71">
        <v>335</v>
      </c>
      <c r="B346" s="77">
        <f t="shared" si="93"/>
        <v>19066.433079446764</v>
      </c>
      <c r="C346" s="73">
        <f>B346/Dashboard!$I$25</f>
        <v>7.6265732317787063E-2</v>
      </c>
      <c r="D346" s="74">
        <f t="shared" si="94"/>
        <v>0</v>
      </c>
      <c r="E346" s="73">
        <f>IF($D$2="JA",Dashboard!$K$26-$D$11+D346,Dashboard!$K$26)</f>
        <v>2.3800000000000002E-2</v>
      </c>
      <c r="F346" s="72">
        <f t="shared" si="95"/>
        <v>37.815092274236086</v>
      </c>
      <c r="G346" s="72">
        <f t="shared" si="106"/>
        <v>744.66191786831723</v>
      </c>
      <c r="H346" s="72">
        <f>IFERROR(-PMT(E346^1/12,Dashboard!$I$30-A346,B346),0)</f>
        <v>782.47701014255335</v>
      </c>
      <c r="I346" s="75">
        <f t="shared" si="96"/>
        <v>782.47701014255335</v>
      </c>
      <c r="J346" s="76">
        <f t="shared" si="107"/>
        <v>19651.506374733941</v>
      </c>
      <c r="K346" s="76">
        <f>J346*Dashboard!$K$26/12</f>
        <v>43.888364236905801</v>
      </c>
      <c r="L346" s="76">
        <f t="shared" si="97"/>
        <v>765.19747834044938</v>
      </c>
      <c r="M346" s="76">
        <f>IF(H346=0,0,IFERROR(-PMT(Dashboard!$K$26^1/12,Dashboard!$I$30,Dashboard!$I$26),0))</f>
        <v>809.08584257735515</v>
      </c>
      <c r="P346" s="59">
        <v>335</v>
      </c>
      <c r="Q346" s="28">
        <f t="shared" si="98"/>
        <v>0</v>
      </c>
      <c r="R346" s="20">
        <f>Q346/Dashboard!$I$25</f>
        <v>0</v>
      </c>
      <c r="S346" s="20">
        <f t="shared" si="99"/>
        <v>0</v>
      </c>
      <c r="T346" s="20">
        <f>IF($D$2="JA",Dashboard!$K$27-$S$11+S346,Dashboard!$K$27)</f>
        <v>2.6800000000000001E-2</v>
      </c>
      <c r="U346" s="27">
        <f t="shared" si="100"/>
        <v>0</v>
      </c>
      <c r="V346" s="26">
        <f>IF(Q346&lt;=1,0,Dashboard!$I$27/Dashboard!$I$30)</f>
        <v>0</v>
      </c>
      <c r="W346" s="28">
        <f>Q346*Dashboard!$K$27/12</f>
        <v>0</v>
      </c>
      <c r="Y346" s="59">
        <v>335</v>
      </c>
      <c r="Z346" s="67">
        <f>Dashboard!$I$28</f>
        <v>0</v>
      </c>
      <c r="AA346" s="64">
        <f>IF(Z346&lt;=1,0,Dashboard!$I$30-Y346)</f>
        <v>0</v>
      </c>
      <c r="AB346" s="64">
        <f t="shared" si="101"/>
        <v>0</v>
      </c>
      <c r="AC346" s="1">
        <f>Dashboard!$K$28</f>
        <v>2.6800000000000001E-2</v>
      </c>
      <c r="AD346" s="28">
        <f t="shared" si="102"/>
        <v>0</v>
      </c>
      <c r="AF346" s="2">
        <f t="shared" si="103"/>
        <v>19066.433079446764</v>
      </c>
      <c r="AG346" s="62">
        <f>(B346+Q346+Z346)/Dashboard!$I$25</f>
        <v>7.6265732317787063E-2</v>
      </c>
      <c r="AH346" s="20">
        <f t="shared" si="104"/>
        <v>0</v>
      </c>
      <c r="AI346" s="20">
        <f>IF($D$2="JA",Dashboard!$K$26-$AH$11+AH346,Dashboard!$K$26)</f>
        <v>2.3800000000000002E-2</v>
      </c>
      <c r="AJ346" s="27">
        <f>Tabel2[[#This Row],[Schuldrest]]*AI346/12</f>
        <v>37.815092274236086</v>
      </c>
      <c r="AK346" s="20">
        <f>IF($D$2="JA",Dashboard!$K$27-$AH$11+AH346,Dashboard!$K$27)</f>
        <v>2.3800000000000002E-2</v>
      </c>
      <c r="AL346" s="27">
        <f t="shared" si="90"/>
        <v>0</v>
      </c>
      <c r="AM346" s="20">
        <f>IF($D$2="JA",Dashboard!$K$28-$AH$11+AH346,Dashboard!$K$28)</f>
        <v>2.3800000000000002E-2</v>
      </c>
      <c r="AN346" s="27">
        <f t="shared" si="91"/>
        <v>0</v>
      </c>
      <c r="AO346" s="63">
        <f>Tabel2[[#This Row],[Aflossing]]+V346</f>
        <v>744.66191786831723</v>
      </c>
      <c r="AP346" s="63">
        <f t="shared" si="105"/>
        <v>37.815092274236086</v>
      </c>
      <c r="AQ346" s="2">
        <f t="shared" si="92"/>
        <v>43.888364236905801</v>
      </c>
      <c r="AU346" s="20"/>
      <c r="AV346" s="20"/>
    </row>
    <row r="347" spans="1:48">
      <c r="A347" s="71">
        <v>336</v>
      </c>
      <c r="B347" s="77">
        <f t="shared" si="93"/>
        <v>18321.771161578446</v>
      </c>
      <c r="C347" s="73">
        <f>B347/Dashboard!$I$25</f>
        <v>7.3287084646313783E-2</v>
      </c>
      <c r="D347" s="74">
        <f t="shared" si="94"/>
        <v>0</v>
      </c>
      <c r="E347" s="73">
        <f>IF($D$2="JA",Dashboard!$K$26-$D$11+D347,Dashboard!$K$26)</f>
        <v>2.3800000000000002E-2</v>
      </c>
      <c r="F347" s="72">
        <f t="shared" si="95"/>
        <v>36.33817947046392</v>
      </c>
      <c r="G347" s="72">
        <f t="shared" si="106"/>
        <v>746.1388306720894</v>
      </c>
      <c r="H347" s="72">
        <f>IFERROR(-PMT(E347^1/12,Dashboard!$I$30-A347,B347),0)</f>
        <v>782.47701014255335</v>
      </c>
      <c r="I347" s="75">
        <f t="shared" si="96"/>
        <v>782.47701014255335</v>
      </c>
      <c r="J347" s="76">
        <f t="shared" si="107"/>
        <v>18886.308896393493</v>
      </c>
      <c r="K347" s="76">
        <f>J347*Dashboard!$K$26/12</f>
        <v>42.179423201945468</v>
      </c>
      <c r="L347" s="76">
        <f t="shared" si="97"/>
        <v>766.90641937540966</v>
      </c>
      <c r="M347" s="76">
        <f>IF(H347=0,0,IFERROR(-PMT(Dashboard!$K$26^1/12,Dashboard!$I$30,Dashboard!$I$26),0))</f>
        <v>809.08584257735515</v>
      </c>
      <c r="P347" s="59">
        <v>336</v>
      </c>
      <c r="Q347" s="28">
        <f t="shared" si="98"/>
        <v>0</v>
      </c>
      <c r="R347" s="20">
        <f>Q347/Dashboard!$I$25</f>
        <v>0</v>
      </c>
      <c r="S347" s="20">
        <f t="shared" si="99"/>
        <v>0</v>
      </c>
      <c r="T347" s="20">
        <f>IF($D$2="JA",Dashboard!$K$27-$S$11+S347,Dashboard!$K$27)</f>
        <v>2.6800000000000001E-2</v>
      </c>
      <c r="U347" s="27">
        <f t="shared" si="100"/>
        <v>0</v>
      </c>
      <c r="V347" s="26">
        <f>IF(Q347&lt;=1,0,Dashboard!$I$27/Dashboard!$I$30)</f>
        <v>0</v>
      </c>
      <c r="W347" s="28">
        <f>Q347*Dashboard!$K$27/12</f>
        <v>0</v>
      </c>
      <c r="Y347" s="59">
        <v>336</v>
      </c>
      <c r="Z347" s="67">
        <f>Dashboard!$I$28</f>
        <v>0</v>
      </c>
      <c r="AA347" s="64">
        <f>IF(Z347&lt;=1,0,Dashboard!$I$30-Y347)</f>
        <v>0</v>
      </c>
      <c r="AB347" s="64">
        <f t="shared" si="101"/>
        <v>0</v>
      </c>
      <c r="AC347" s="1">
        <f>Dashboard!$K$28</f>
        <v>2.6800000000000001E-2</v>
      </c>
      <c r="AD347" s="28">
        <f t="shared" si="102"/>
        <v>0</v>
      </c>
      <c r="AF347" s="2">
        <f t="shared" si="103"/>
        <v>18321.771161578446</v>
      </c>
      <c r="AG347" s="62">
        <f>(B347+Q347+Z347)/Dashboard!$I$25</f>
        <v>7.3287084646313783E-2</v>
      </c>
      <c r="AH347" s="20">
        <f t="shared" si="104"/>
        <v>0</v>
      </c>
      <c r="AI347" s="20">
        <f>IF($D$2="JA",Dashboard!$K$26-$AH$11+AH347,Dashboard!$K$26)</f>
        <v>2.3800000000000002E-2</v>
      </c>
      <c r="AJ347" s="27">
        <f>Tabel2[[#This Row],[Schuldrest]]*AI347/12</f>
        <v>36.33817947046392</v>
      </c>
      <c r="AK347" s="20">
        <f>IF($D$2="JA",Dashboard!$K$27-$AH$11+AH347,Dashboard!$K$27)</f>
        <v>2.3800000000000002E-2</v>
      </c>
      <c r="AL347" s="27">
        <f t="shared" si="90"/>
        <v>0</v>
      </c>
      <c r="AM347" s="20">
        <f>IF($D$2="JA",Dashboard!$K$28-$AH$11+AH347,Dashboard!$K$28)</f>
        <v>2.3800000000000002E-2</v>
      </c>
      <c r="AN347" s="27">
        <f t="shared" si="91"/>
        <v>0</v>
      </c>
      <c r="AO347" s="63">
        <f>Tabel2[[#This Row],[Aflossing]]+V347</f>
        <v>746.1388306720894</v>
      </c>
      <c r="AP347" s="63">
        <f t="shared" si="105"/>
        <v>36.33817947046392</v>
      </c>
      <c r="AQ347" s="2">
        <f t="shared" si="92"/>
        <v>42.179423201945468</v>
      </c>
      <c r="AU347" s="20"/>
      <c r="AV347" s="20"/>
    </row>
    <row r="348" spans="1:48">
      <c r="A348" s="71">
        <v>337</v>
      </c>
      <c r="B348" s="77">
        <f t="shared" si="93"/>
        <v>17575.632330906355</v>
      </c>
      <c r="C348" s="73">
        <f>B348/Dashboard!$I$25</f>
        <v>7.0302529323625421E-2</v>
      </c>
      <c r="D348" s="74">
        <f t="shared" si="94"/>
        <v>0</v>
      </c>
      <c r="E348" s="73">
        <f>IF($D$2="JA",Dashboard!$K$26-$D$11+D348,Dashboard!$K$26)</f>
        <v>2.3800000000000002E-2</v>
      </c>
      <c r="F348" s="72">
        <f t="shared" si="95"/>
        <v>34.858337456297612</v>
      </c>
      <c r="G348" s="72">
        <f t="shared" si="106"/>
        <v>747.61867268625576</v>
      </c>
      <c r="H348" s="72">
        <f>IFERROR(-PMT(E348^1/12,Dashboard!$I$30-A348,B348),0)</f>
        <v>782.47701014255335</v>
      </c>
      <c r="I348" s="75">
        <f t="shared" si="96"/>
        <v>782.47701014255335</v>
      </c>
      <c r="J348" s="76">
        <f t="shared" si="107"/>
        <v>18119.402477018084</v>
      </c>
      <c r="K348" s="76">
        <f>J348*Dashboard!$K$26/12</f>
        <v>40.466665532007056</v>
      </c>
      <c r="L348" s="76">
        <f t="shared" si="97"/>
        <v>768.61917704534812</v>
      </c>
      <c r="M348" s="76">
        <f>IF(H348=0,0,IFERROR(-PMT(Dashboard!$K$26^1/12,Dashboard!$I$30,Dashboard!$I$26),0))</f>
        <v>809.08584257735515</v>
      </c>
      <c r="P348" s="59">
        <v>337</v>
      </c>
      <c r="Q348" s="28">
        <f t="shared" si="98"/>
        <v>0</v>
      </c>
      <c r="R348" s="20">
        <f>Q348/Dashboard!$I$25</f>
        <v>0</v>
      </c>
      <c r="S348" s="20">
        <f t="shared" si="99"/>
        <v>0</v>
      </c>
      <c r="T348" s="20">
        <f>IF($D$2="JA",Dashboard!$K$27-$S$11+S348,Dashboard!$K$27)</f>
        <v>2.6800000000000001E-2</v>
      </c>
      <c r="U348" s="27">
        <f t="shared" si="100"/>
        <v>0</v>
      </c>
      <c r="V348" s="26">
        <f>IF(Q348&lt;=1,0,Dashboard!$I$27/Dashboard!$I$30)</f>
        <v>0</v>
      </c>
      <c r="W348" s="28">
        <f>Q348*Dashboard!$K$27/12</f>
        <v>0</v>
      </c>
      <c r="Y348" s="59">
        <v>337</v>
      </c>
      <c r="Z348" s="67">
        <f>Dashboard!$I$28</f>
        <v>0</v>
      </c>
      <c r="AA348" s="64">
        <f>IF(Z348&lt;=1,0,Dashboard!$I$30-Y348)</f>
        <v>0</v>
      </c>
      <c r="AB348" s="64">
        <f t="shared" si="101"/>
        <v>0</v>
      </c>
      <c r="AC348" s="1">
        <f>Dashboard!$K$28</f>
        <v>2.6800000000000001E-2</v>
      </c>
      <c r="AD348" s="28">
        <f t="shared" si="102"/>
        <v>0</v>
      </c>
      <c r="AF348" s="2">
        <f t="shared" si="103"/>
        <v>17575.632330906355</v>
      </c>
      <c r="AG348" s="62">
        <f>(B348+Q348+Z348)/Dashboard!$I$25</f>
        <v>7.0302529323625421E-2</v>
      </c>
      <c r="AH348" s="20">
        <f t="shared" si="104"/>
        <v>0</v>
      </c>
      <c r="AI348" s="20">
        <f>IF($D$2="JA",Dashboard!$K$26-$AH$11+AH348,Dashboard!$K$26)</f>
        <v>2.3800000000000002E-2</v>
      </c>
      <c r="AJ348" s="27">
        <f>Tabel2[[#This Row],[Schuldrest]]*AI348/12</f>
        <v>34.858337456297612</v>
      </c>
      <c r="AK348" s="20">
        <f>IF($D$2="JA",Dashboard!$K$27-$AH$11+AH348,Dashboard!$K$27)</f>
        <v>2.3800000000000002E-2</v>
      </c>
      <c r="AL348" s="27">
        <f t="shared" si="90"/>
        <v>0</v>
      </c>
      <c r="AM348" s="20">
        <f>IF($D$2="JA",Dashboard!$K$28-$AH$11+AH348,Dashboard!$K$28)</f>
        <v>2.3800000000000002E-2</v>
      </c>
      <c r="AN348" s="27">
        <f t="shared" si="91"/>
        <v>0</v>
      </c>
      <c r="AO348" s="63">
        <f>Tabel2[[#This Row],[Aflossing]]+V348</f>
        <v>747.61867268625576</v>
      </c>
      <c r="AP348" s="63">
        <f t="shared" si="105"/>
        <v>34.858337456297612</v>
      </c>
      <c r="AQ348" s="2">
        <f t="shared" si="92"/>
        <v>40.466665532007056</v>
      </c>
      <c r="AU348" s="20"/>
      <c r="AV348" s="20"/>
    </row>
    <row r="349" spans="1:48">
      <c r="A349" s="71">
        <v>338</v>
      </c>
      <c r="B349" s="77">
        <f t="shared" si="93"/>
        <v>16828.013658220101</v>
      </c>
      <c r="C349" s="73">
        <f>B349/Dashboard!$I$25</f>
        <v>6.7312054632880411E-2</v>
      </c>
      <c r="D349" s="74">
        <f t="shared" si="94"/>
        <v>0</v>
      </c>
      <c r="E349" s="73">
        <f>IF($D$2="JA",Dashboard!$K$26-$D$11+D349,Dashboard!$K$26)</f>
        <v>2.3800000000000002E-2</v>
      </c>
      <c r="F349" s="72">
        <f t="shared" si="95"/>
        <v>33.375560422136537</v>
      </c>
      <c r="G349" s="72">
        <f t="shared" si="106"/>
        <v>749.10144972041701</v>
      </c>
      <c r="H349" s="72">
        <f>IFERROR(-PMT(E349^1/12,Dashboard!$I$30-A349,B349),0)</f>
        <v>782.47701014255358</v>
      </c>
      <c r="I349" s="75">
        <f t="shared" si="96"/>
        <v>782.47701014255358</v>
      </c>
      <c r="J349" s="76">
        <f t="shared" si="107"/>
        <v>17350.783299972736</v>
      </c>
      <c r="K349" s="76">
        <f>J349*Dashboard!$K$26/12</f>
        <v>38.750082703272447</v>
      </c>
      <c r="L349" s="76">
        <f t="shared" si="97"/>
        <v>770.33575987408267</v>
      </c>
      <c r="M349" s="76">
        <f>IF(H349=0,0,IFERROR(-PMT(Dashboard!$K$26^1/12,Dashboard!$I$30,Dashboard!$I$26),0))</f>
        <v>809.08584257735515</v>
      </c>
      <c r="P349" s="59">
        <v>338</v>
      </c>
      <c r="Q349" s="28">
        <f t="shared" si="98"/>
        <v>0</v>
      </c>
      <c r="R349" s="20">
        <f>Q349/Dashboard!$I$25</f>
        <v>0</v>
      </c>
      <c r="S349" s="20">
        <f t="shared" si="99"/>
        <v>0</v>
      </c>
      <c r="T349" s="20">
        <f>IF($D$2="JA",Dashboard!$K$27-$S$11+S349,Dashboard!$K$27)</f>
        <v>2.6800000000000001E-2</v>
      </c>
      <c r="U349" s="27">
        <f t="shared" si="100"/>
        <v>0</v>
      </c>
      <c r="V349" s="26">
        <f>IF(Q349&lt;=1,0,Dashboard!$I$27/Dashboard!$I$30)</f>
        <v>0</v>
      </c>
      <c r="W349" s="28">
        <f>Q349*Dashboard!$K$27/12</f>
        <v>0</v>
      </c>
      <c r="Y349" s="59">
        <v>338</v>
      </c>
      <c r="Z349" s="67">
        <f>Dashboard!$I$28</f>
        <v>0</v>
      </c>
      <c r="AA349" s="64">
        <f>IF(Z349&lt;=1,0,Dashboard!$I$30-Y349)</f>
        <v>0</v>
      </c>
      <c r="AB349" s="64">
        <f t="shared" si="101"/>
        <v>0</v>
      </c>
      <c r="AC349" s="1">
        <f>Dashboard!$K$28</f>
        <v>2.6800000000000001E-2</v>
      </c>
      <c r="AD349" s="28">
        <f t="shared" si="102"/>
        <v>0</v>
      </c>
      <c r="AF349" s="2">
        <f t="shared" si="103"/>
        <v>16828.013658220101</v>
      </c>
      <c r="AG349" s="62">
        <f>(B349+Q349+Z349)/Dashboard!$I$25</f>
        <v>6.7312054632880411E-2</v>
      </c>
      <c r="AH349" s="20">
        <f t="shared" si="104"/>
        <v>0</v>
      </c>
      <c r="AI349" s="20">
        <f>IF($D$2="JA",Dashboard!$K$26-$AH$11+AH349,Dashboard!$K$26)</f>
        <v>2.3800000000000002E-2</v>
      </c>
      <c r="AJ349" s="27">
        <f>Tabel2[[#This Row],[Schuldrest]]*AI349/12</f>
        <v>33.375560422136537</v>
      </c>
      <c r="AK349" s="20">
        <f>IF($D$2="JA",Dashboard!$K$27-$AH$11+AH349,Dashboard!$K$27)</f>
        <v>2.3800000000000002E-2</v>
      </c>
      <c r="AL349" s="27">
        <f t="shared" si="90"/>
        <v>0</v>
      </c>
      <c r="AM349" s="20">
        <f>IF($D$2="JA",Dashboard!$K$28-$AH$11+AH349,Dashboard!$K$28)</f>
        <v>2.3800000000000002E-2</v>
      </c>
      <c r="AN349" s="27">
        <f t="shared" si="91"/>
        <v>0</v>
      </c>
      <c r="AO349" s="63">
        <f>Tabel2[[#This Row],[Aflossing]]+V349</f>
        <v>749.10144972041701</v>
      </c>
      <c r="AP349" s="63">
        <f t="shared" si="105"/>
        <v>33.375560422136537</v>
      </c>
      <c r="AQ349" s="2">
        <f t="shared" si="92"/>
        <v>38.750082703272447</v>
      </c>
      <c r="AU349" s="20"/>
      <c r="AV349" s="20"/>
    </row>
    <row r="350" spans="1:48">
      <c r="A350" s="71">
        <v>339</v>
      </c>
      <c r="B350" s="77">
        <f t="shared" si="93"/>
        <v>16078.912208499683</v>
      </c>
      <c r="C350" s="73">
        <f>B350/Dashboard!$I$25</f>
        <v>6.4315648833998734E-2</v>
      </c>
      <c r="D350" s="74">
        <f t="shared" si="94"/>
        <v>0</v>
      </c>
      <c r="E350" s="73">
        <f>IF($D$2="JA",Dashboard!$K$26-$D$11+D350,Dashboard!$K$26)</f>
        <v>2.3800000000000002E-2</v>
      </c>
      <c r="F350" s="72">
        <f t="shared" si="95"/>
        <v>31.889842546857707</v>
      </c>
      <c r="G350" s="72">
        <f t="shared" si="106"/>
        <v>750.58716759569563</v>
      </c>
      <c r="H350" s="72">
        <f>IFERROR(-PMT(E350^1/12,Dashboard!$I$30-A350,B350),0)</f>
        <v>782.47701014255335</v>
      </c>
      <c r="I350" s="75">
        <f t="shared" si="96"/>
        <v>782.47701014255335</v>
      </c>
      <c r="J350" s="76">
        <f t="shared" si="107"/>
        <v>16580.447540098652</v>
      </c>
      <c r="K350" s="76">
        <f>J350*Dashboard!$K$26/12</f>
        <v>37.029666172886991</v>
      </c>
      <c r="L350" s="76">
        <f t="shared" si="97"/>
        <v>772.05617640446815</v>
      </c>
      <c r="M350" s="76">
        <f>IF(H350=0,0,IFERROR(-PMT(Dashboard!$K$26^1/12,Dashboard!$I$30,Dashboard!$I$26),0))</f>
        <v>809.08584257735515</v>
      </c>
      <c r="P350" s="59">
        <v>339</v>
      </c>
      <c r="Q350" s="28">
        <f t="shared" si="98"/>
        <v>0</v>
      </c>
      <c r="R350" s="20">
        <f>Q350/Dashboard!$I$25</f>
        <v>0</v>
      </c>
      <c r="S350" s="20">
        <f t="shared" si="99"/>
        <v>0</v>
      </c>
      <c r="T350" s="20">
        <f>IF($D$2="JA",Dashboard!$K$27-$S$11+S350,Dashboard!$K$27)</f>
        <v>2.6800000000000001E-2</v>
      </c>
      <c r="U350" s="27">
        <f t="shared" si="100"/>
        <v>0</v>
      </c>
      <c r="V350" s="26">
        <f>IF(Q350&lt;=1,0,Dashboard!$I$27/Dashboard!$I$30)</f>
        <v>0</v>
      </c>
      <c r="W350" s="28">
        <f>Q350*Dashboard!$K$27/12</f>
        <v>0</v>
      </c>
      <c r="Y350" s="59">
        <v>339</v>
      </c>
      <c r="Z350" s="67">
        <f>Dashboard!$I$28</f>
        <v>0</v>
      </c>
      <c r="AA350" s="64">
        <f>IF(Z350&lt;=1,0,Dashboard!$I$30-Y350)</f>
        <v>0</v>
      </c>
      <c r="AB350" s="64">
        <f t="shared" si="101"/>
        <v>0</v>
      </c>
      <c r="AC350" s="1">
        <f>Dashboard!$K$28</f>
        <v>2.6800000000000001E-2</v>
      </c>
      <c r="AD350" s="28">
        <f t="shared" si="102"/>
        <v>0</v>
      </c>
      <c r="AF350" s="2">
        <f t="shared" si="103"/>
        <v>16078.912208499683</v>
      </c>
      <c r="AG350" s="62">
        <f>(B350+Q350+Z350)/Dashboard!$I$25</f>
        <v>6.4315648833998734E-2</v>
      </c>
      <c r="AH350" s="20">
        <f t="shared" si="104"/>
        <v>0</v>
      </c>
      <c r="AI350" s="20">
        <f>IF($D$2="JA",Dashboard!$K$26-$AH$11+AH350,Dashboard!$K$26)</f>
        <v>2.3800000000000002E-2</v>
      </c>
      <c r="AJ350" s="27">
        <f>Tabel2[[#This Row],[Schuldrest]]*AI350/12</f>
        <v>31.889842546857707</v>
      </c>
      <c r="AK350" s="20">
        <f>IF($D$2="JA",Dashboard!$K$27-$AH$11+AH350,Dashboard!$K$27)</f>
        <v>2.3800000000000002E-2</v>
      </c>
      <c r="AL350" s="27">
        <f t="shared" si="90"/>
        <v>0</v>
      </c>
      <c r="AM350" s="20">
        <f>IF($D$2="JA",Dashboard!$K$28-$AH$11+AH350,Dashboard!$K$28)</f>
        <v>2.3800000000000002E-2</v>
      </c>
      <c r="AN350" s="27">
        <f t="shared" si="91"/>
        <v>0</v>
      </c>
      <c r="AO350" s="63">
        <f>Tabel2[[#This Row],[Aflossing]]+V350</f>
        <v>750.58716759569563</v>
      </c>
      <c r="AP350" s="63">
        <f t="shared" si="105"/>
        <v>31.889842546857707</v>
      </c>
      <c r="AQ350" s="2">
        <f t="shared" si="92"/>
        <v>37.029666172886991</v>
      </c>
      <c r="AU350" s="20"/>
      <c r="AV350" s="20"/>
    </row>
    <row r="351" spans="1:48">
      <c r="A351" s="71">
        <v>340</v>
      </c>
      <c r="B351" s="77">
        <f t="shared" si="93"/>
        <v>15328.325040903988</v>
      </c>
      <c r="C351" s="73">
        <f>B351/Dashboard!$I$25</f>
        <v>6.1313300163615955E-2</v>
      </c>
      <c r="D351" s="74">
        <f t="shared" si="94"/>
        <v>0</v>
      </c>
      <c r="E351" s="73">
        <f>IF($D$2="JA",Dashboard!$K$26-$D$11+D351,Dashboard!$K$26)</f>
        <v>2.3800000000000002E-2</v>
      </c>
      <c r="F351" s="72">
        <f t="shared" si="95"/>
        <v>30.401177997792914</v>
      </c>
      <c r="G351" s="72">
        <f t="shared" si="106"/>
        <v>752.0758321447604</v>
      </c>
      <c r="H351" s="72">
        <f>IFERROR(-PMT(E351^1/12,Dashboard!$I$30-A351,B351),0)</f>
        <v>782.47701014255335</v>
      </c>
      <c r="I351" s="75">
        <f t="shared" si="96"/>
        <v>782.47701014255335</v>
      </c>
      <c r="J351" s="76">
        <f t="shared" si="107"/>
        <v>15808.391363694183</v>
      </c>
      <c r="K351" s="76">
        <f>J351*Dashboard!$K$26/12</f>
        <v>35.30540737891701</v>
      </c>
      <c r="L351" s="76">
        <f t="shared" si="97"/>
        <v>773.78043519843811</v>
      </c>
      <c r="M351" s="76">
        <f>IF(H351=0,0,IFERROR(-PMT(Dashboard!$K$26^1/12,Dashboard!$I$30,Dashboard!$I$26),0))</f>
        <v>809.08584257735515</v>
      </c>
      <c r="P351" s="59">
        <v>340</v>
      </c>
      <c r="Q351" s="28">
        <f t="shared" si="98"/>
        <v>0</v>
      </c>
      <c r="R351" s="20">
        <f>Q351/Dashboard!$I$25</f>
        <v>0</v>
      </c>
      <c r="S351" s="20">
        <f t="shared" si="99"/>
        <v>0</v>
      </c>
      <c r="T351" s="20">
        <f>IF($D$2="JA",Dashboard!$K$27-$S$11+S351,Dashboard!$K$27)</f>
        <v>2.6800000000000001E-2</v>
      </c>
      <c r="U351" s="27">
        <f t="shared" si="100"/>
        <v>0</v>
      </c>
      <c r="V351" s="26">
        <f>IF(Q351&lt;=1,0,Dashboard!$I$27/Dashboard!$I$30)</f>
        <v>0</v>
      </c>
      <c r="W351" s="28">
        <f>Q351*Dashboard!$K$27/12</f>
        <v>0</v>
      </c>
      <c r="Y351" s="59">
        <v>340</v>
      </c>
      <c r="Z351" s="67">
        <f>Dashboard!$I$28</f>
        <v>0</v>
      </c>
      <c r="AA351" s="64">
        <f>IF(Z351&lt;=1,0,Dashboard!$I$30-Y351)</f>
        <v>0</v>
      </c>
      <c r="AB351" s="64">
        <f t="shared" si="101"/>
        <v>0</v>
      </c>
      <c r="AC351" s="1">
        <f>Dashboard!$K$28</f>
        <v>2.6800000000000001E-2</v>
      </c>
      <c r="AD351" s="28">
        <f t="shared" si="102"/>
        <v>0</v>
      </c>
      <c r="AF351" s="2">
        <f t="shared" si="103"/>
        <v>15328.325040903988</v>
      </c>
      <c r="AG351" s="62">
        <f>(B351+Q351+Z351)/Dashboard!$I$25</f>
        <v>6.1313300163615955E-2</v>
      </c>
      <c r="AH351" s="20">
        <f t="shared" si="104"/>
        <v>0</v>
      </c>
      <c r="AI351" s="20">
        <f>IF($D$2="JA",Dashboard!$K$26-$AH$11+AH351,Dashboard!$K$26)</f>
        <v>2.3800000000000002E-2</v>
      </c>
      <c r="AJ351" s="27">
        <f>Tabel2[[#This Row],[Schuldrest]]*AI351/12</f>
        <v>30.401177997792914</v>
      </c>
      <c r="AK351" s="20">
        <f>IF($D$2="JA",Dashboard!$K$27-$AH$11+AH351,Dashboard!$K$27)</f>
        <v>2.3800000000000002E-2</v>
      </c>
      <c r="AL351" s="27">
        <f t="shared" si="90"/>
        <v>0</v>
      </c>
      <c r="AM351" s="20">
        <f>IF($D$2="JA",Dashboard!$K$28-$AH$11+AH351,Dashboard!$K$28)</f>
        <v>2.3800000000000002E-2</v>
      </c>
      <c r="AN351" s="27">
        <f t="shared" si="91"/>
        <v>0</v>
      </c>
      <c r="AO351" s="63">
        <f>Tabel2[[#This Row],[Aflossing]]+V351</f>
        <v>752.0758321447604</v>
      </c>
      <c r="AP351" s="63">
        <f t="shared" si="105"/>
        <v>30.401177997792914</v>
      </c>
      <c r="AQ351" s="2">
        <f t="shared" si="92"/>
        <v>35.30540737891701</v>
      </c>
      <c r="AU351" s="20"/>
      <c r="AV351" s="20"/>
    </row>
    <row r="352" spans="1:48">
      <c r="A352" s="71">
        <v>341</v>
      </c>
      <c r="B352" s="77">
        <f t="shared" si="93"/>
        <v>14576.249208759227</v>
      </c>
      <c r="C352" s="73">
        <f>B352/Dashboard!$I$25</f>
        <v>5.8304996835036912E-2</v>
      </c>
      <c r="D352" s="74">
        <f t="shared" si="94"/>
        <v>0</v>
      </c>
      <c r="E352" s="73">
        <f>IF($D$2="JA",Dashboard!$K$26-$D$11+D352,Dashboard!$K$26)</f>
        <v>2.3800000000000002E-2</v>
      </c>
      <c r="F352" s="72">
        <f t="shared" si="95"/>
        <v>28.909560930705805</v>
      </c>
      <c r="G352" s="72">
        <f t="shared" si="106"/>
        <v>753.56744921184747</v>
      </c>
      <c r="H352" s="72">
        <f>IFERROR(-PMT(E352^1/12,Dashboard!$I$30-A352,B352),0)</f>
        <v>782.47701014255324</v>
      </c>
      <c r="I352" s="75">
        <f t="shared" si="96"/>
        <v>782.47701014255324</v>
      </c>
      <c r="J352" s="76">
        <f t="shared" si="107"/>
        <v>15034.610928495746</v>
      </c>
      <c r="K352" s="76">
        <f>J352*Dashboard!$K$26/12</f>
        <v>33.577297740307166</v>
      </c>
      <c r="L352" s="76">
        <f t="shared" si="97"/>
        <v>775.50854483704802</v>
      </c>
      <c r="M352" s="76">
        <f>IF(H352=0,0,IFERROR(-PMT(Dashboard!$K$26^1/12,Dashboard!$I$30,Dashboard!$I$26),0))</f>
        <v>809.08584257735515</v>
      </c>
      <c r="P352" s="59">
        <v>341</v>
      </c>
      <c r="Q352" s="28">
        <f t="shared" si="98"/>
        <v>0</v>
      </c>
      <c r="R352" s="20">
        <f>Q352/Dashboard!$I$25</f>
        <v>0</v>
      </c>
      <c r="S352" s="20">
        <f t="shared" si="99"/>
        <v>0</v>
      </c>
      <c r="T352" s="20">
        <f>IF($D$2="JA",Dashboard!$K$27-$S$11+S352,Dashboard!$K$27)</f>
        <v>2.6800000000000001E-2</v>
      </c>
      <c r="U352" s="27">
        <f t="shared" si="100"/>
        <v>0</v>
      </c>
      <c r="V352" s="26">
        <f>IF(Q352&lt;=1,0,Dashboard!$I$27/Dashboard!$I$30)</f>
        <v>0</v>
      </c>
      <c r="W352" s="28">
        <f>Q352*Dashboard!$K$27/12</f>
        <v>0</v>
      </c>
      <c r="Y352" s="59">
        <v>341</v>
      </c>
      <c r="Z352" s="67">
        <f>Dashboard!$I$28</f>
        <v>0</v>
      </c>
      <c r="AA352" s="64">
        <f>IF(Z352&lt;=1,0,Dashboard!$I$30-Y352)</f>
        <v>0</v>
      </c>
      <c r="AB352" s="64">
        <f t="shared" si="101"/>
        <v>0</v>
      </c>
      <c r="AC352" s="1">
        <f>Dashboard!$K$28</f>
        <v>2.6800000000000001E-2</v>
      </c>
      <c r="AD352" s="28">
        <f t="shared" si="102"/>
        <v>0</v>
      </c>
      <c r="AF352" s="2">
        <f t="shared" si="103"/>
        <v>14576.249208759227</v>
      </c>
      <c r="AG352" s="62">
        <f>(B352+Q352+Z352)/Dashboard!$I$25</f>
        <v>5.8304996835036912E-2</v>
      </c>
      <c r="AH352" s="20">
        <f t="shared" si="104"/>
        <v>0</v>
      </c>
      <c r="AI352" s="20">
        <f>IF($D$2="JA",Dashboard!$K$26-$AH$11+AH352,Dashboard!$K$26)</f>
        <v>2.3800000000000002E-2</v>
      </c>
      <c r="AJ352" s="27">
        <f>Tabel2[[#This Row],[Schuldrest]]*AI352/12</f>
        <v>28.909560930705805</v>
      </c>
      <c r="AK352" s="20">
        <f>IF($D$2="JA",Dashboard!$K$27-$AH$11+AH352,Dashboard!$K$27)</f>
        <v>2.3800000000000002E-2</v>
      </c>
      <c r="AL352" s="27">
        <f t="shared" si="90"/>
        <v>0</v>
      </c>
      <c r="AM352" s="20">
        <f>IF($D$2="JA",Dashboard!$K$28-$AH$11+AH352,Dashboard!$K$28)</f>
        <v>2.3800000000000002E-2</v>
      </c>
      <c r="AN352" s="27">
        <f t="shared" si="91"/>
        <v>0</v>
      </c>
      <c r="AO352" s="63">
        <f>Tabel2[[#This Row],[Aflossing]]+V352</f>
        <v>753.56744921184747</v>
      </c>
      <c r="AP352" s="63">
        <f t="shared" si="105"/>
        <v>28.909560930705805</v>
      </c>
      <c r="AQ352" s="2">
        <f t="shared" si="92"/>
        <v>33.577297740307166</v>
      </c>
      <c r="AU352" s="20"/>
      <c r="AV352" s="20"/>
    </row>
    <row r="353" spans="1:48">
      <c r="A353" s="71">
        <v>342</v>
      </c>
      <c r="B353" s="77">
        <f t="shared" si="93"/>
        <v>13822.68175954738</v>
      </c>
      <c r="C353" s="73">
        <f>B353/Dashboard!$I$25</f>
        <v>5.5290727038189519E-2</v>
      </c>
      <c r="D353" s="74">
        <f t="shared" si="94"/>
        <v>0</v>
      </c>
      <c r="E353" s="73">
        <f>IF($D$2="JA",Dashboard!$K$26-$D$11+D353,Dashboard!$K$26)</f>
        <v>2.3800000000000002E-2</v>
      </c>
      <c r="F353" s="72">
        <f t="shared" si="95"/>
        <v>27.41498548976897</v>
      </c>
      <c r="G353" s="72">
        <f t="shared" si="106"/>
        <v>755.06202465278443</v>
      </c>
      <c r="H353" s="72">
        <f>IFERROR(-PMT(E353^1/12,Dashboard!$I$30-A353,B353),0)</f>
        <v>782.47701014255335</v>
      </c>
      <c r="I353" s="75">
        <f t="shared" si="96"/>
        <v>782.47701014255335</v>
      </c>
      <c r="J353" s="76">
        <f t="shared" si="107"/>
        <v>14259.102383658697</v>
      </c>
      <c r="K353" s="76">
        <f>J353*Dashboard!$K$26/12</f>
        <v>31.845328656837761</v>
      </c>
      <c r="L353" s="76">
        <f t="shared" si="97"/>
        <v>777.2405139205174</v>
      </c>
      <c r="M353" s="76">
        <f>IF(H353=0,0,IFERROR(-PMT(Dashboard!$K$26^1/12,Dashboard!$I$30,Dashboard!$I$26),0))</f>
        <v>809.08584257735515</v>
      </c>
      <c r="P353" s="59">
        <v>342</v>
      </c>
      <c r="Q353" s="28">
        <f t="shared" si="98"/>
        <v>0</v>
      </c>
      <c r="R353" s="20">
        <f>Q353/Dashboard!$I$25</f>
        <v>0</v>
      </c>
      <c r="S353" s="20">
        <f t="shared" si="99"/>
        <v>0</v>
      </c>
      <c r="T353" s="20">
        <f>IF($D$2="JA",Dashboard!$K$27-$S$11+S353,Dashboard!$K$27)</f>
        <v>2.6800000000000001E-2</v>
      </c>
      <c r="U353" s="27">
        <f t="shared" si="100"/>
        <v>0</v>
      </c>
      <c r="V353" s="26">
        <f>IF(Q353&lt;=1,0,Dashboard!$I$27/Dashboard!$I$30)</f>
        <v>0</v>
      </c>
      <c r="W353" s="28">
        <f>Q353*Dashboard!$K$27/12</f>
        <v>0</v>
      </c>
      <c r="Y353" s="59">
        <v>342</v>
      </c>
      <c r="Z353" s="67">
        <f>Dashboard!$I$28</f>
        <v>0</v>
      </c>
      <c r="AA353" s="64">
        <f>IF(Z353&lt;=1,0,Dashboard!$I$30-Y353)</f>
        <v>0</v>
      </c>
      <c r="AB353" s="64">
        <f t="shared" si="101"/>
        <v>0</v>
      </c>
      <c r="AC353" s="1">
        <f>Dashboard!$K$28</f>
        <v>2.6800000000000001E-2</v>
      </c>
      <c r="AD353" s="28">
        <f t="shared" si="102"/>
        <v>0</v>
      </c>
      <c r="AF353" s="2">
        <f t="shared" si="103"/>
        <v>13822.68175954738</v>
      </c>
      <c r="AG353" s="62">
        <f>(B353+Q353+Z353)/Dashboard!$I$25</f>
        <v>5.5290727038189519E-2</v>
      </c>
      <c r="AH353" s="20">
        <f t="shared" si="104"/>
        <v>0</v>
      </c>
      <c r="AI353" s="20">
        <f>IF($D$2="JA",Dashboard!$K$26-$AH$11+AH353,Dashboard!$K$26)</f>
        <v>2.3800000000000002E-2</v>
      </c>
      <c r="AJ353" s="27">
        <f>Tabel2[[#This Row],[Schuldrest]]*AI353/12</f>
        <v>27.41498548976897</v>
      </c>
      <c r="AK353" s="20">
        <f>IF($D$2="JA",Dashboard!$K$27-$AH$11+AH353,Dashboard!$K$27)</f>
        <v>2.3800000000000002E-2</v>
      </c>
      <c r="AL353" s="27">
        <f t="shared" si="90"/>
        <v>0</v>
      </c>
      <c r="AM353" s="20">
        <f>IF($D$2="JA",Dashboard!$K$28-$AH$11+AH353,Dashboard!$K$28)</f>
        <v>2.3800000000000002E-2</v>
      </c>
      <c r="AN353" s="27">
        <f t="shared" si="91"/>
        <v>0</v>
      </c>
      <c r="AO353" s="63">
        <f>Tabel2[[#This Row],[Aflossing]]+V353</f>
        <v>755.06202465278443</v>
      </c>
      <c r="AP353" s="63">
        <f t="shared" si="105"/>
        <v>27.41498548976897</v>
      </c>
      <c r="AQ353" s="2">
        <f t="shared" si="92"/>
        <v>31.845328656837761</v>
      </c>
      <c r="AU353" s="20"/>
      <c r="AV353" s="20"/>
    </row>
    <row r="354" spans="1:48">
      <c r="A354" s="71">
        <v>343</v>
      </c>
      <c r="B354" s="77">
        <f t="shared" si="93"/>
        <v>13067.619734894595</v>
      </c>
      <c r="C354" s="73">
        <f>B354/Dashboard!$I$25</f>
        <v>5.2270478939578383E-2</v>
      </c>
      <c r="D354" s="74">
        <f t="shared" si="94"/>
        <v>0</v>
      </c>
      <c r="E354" s="73">
        <f>IF($D$2="JA",Dashboard!$K$26-$D$11+D354,Dashboard!$K$26)</f>
        <v>2.3800000000000002E-2</v>
      </c>
      <c r="F354" s="72">
        <f t="shared" si="95"/>
        <v>25.917445807540947</v>
      </c>
      <c r="G354" s="72">
        <f t="shared" si="106"/>
        <v>756.55956433501262</v>
      </c>
      <c r="H354" s="72">
        <f>IFERROR(-PMT(E354^1/12,Dashboard!$I$30-A354,B354),0)</f>
        <v>782.47701014255358</v>
      </c>
      <c r="I354" s="75">
        <f t="shared" si="96"/>
        <v>782.47701014255358</v>
      </c>
      <c r="J354" s="76">
        <f t="shared" si="107"/>
        <v>13481.861869738181</v>
      </c>
      <c r="K354" s="76">
        <f>J354*Dashboard!$K$26/12</f>
        <v>30.109491509081938</v>
      </c>
      <c r="L354" s="76">
        <f t="shared" si="97"/>
        <v>778.97635106827317</v>
      </c>
      <c r="M354" s="76">
        <f>IF(H354=0,0,IFERROR(-PMT(Dashboard!$K$26^1/12,Dashboard!$I$30,Dashboard!$I$26),0))</f>
        <v>809.08584257735515</v>
      </c>
      <c r="P354" s="59">
        <v>343</v>
      </c>
      <c r="Q354" s="28">
        <f t="shared" si="98"/>
        <v>0</v>
      </c>
      <c r="R354" s="20">
        <f>Q354/Dashboard!$I$25</f>
        <v>0</v>
      </c>
      <c r="S354" s="20">
        <f t="shared" si="99"/>
        <v>0</v>
      </c>
      <c r="T354" s="20">
        <f>IF($D$2="JA",Dashboard!$K$27-$S$11+S354,Dashboard!$K$27)</f>
        <v>2.6800000000000001E-2</v>
      </c>
      <c r="U354" s="27">
        <f t="shared" si="100"/>
        <v>0</v>
      </c>
      <c r="V354" s="26">
        <f>IF(Q354&lt;=1,0,Dashboard!$I$27/Dashboard!$I$30)</f>
        <v>0</v>
      </c>
      <c r="W354" s="28">
        <f>Q354*Dashboard!$K$27/12</f>
        <v>0</v>
      </c>
      <c r="Y354" s="59">
        <v>343</v>
      </c>
      <c r="Z354" s="67">
        <f>Dashboard!$I$28</f>
        <v>0</v>
      </c>
      <c r="AA354" s="64">
        <f>IF(Z354&lt;=1,0,Dashboard!$I$30-Y354)</f>
        <v>0</v>
      </c>
      <c r="AB354" s="64">
        <f t="shared" si="101"/>
        <v>0</v>
      </c>
      <c r="AC354" s="1">
        <f>Dashboard!$K$28</f>
        <v>2.6800000000000001E-2</v>
      </c>
      <c r="AD354" s="28">
        <f t="shared" si="102"/>
        <v>0</v>
      </c>
      <c r="AF354" s="2">
        <f t="shared" si="103"/>
        <v>13067.619734894595</v>
      </c>
      <c r="AG354" s="62">
        <f>(B354+Q354+Z354)/Dashboard!$I$25</f>
        <v>5.2270478939578383E-2</v>
      </c>
      <c r="AH354" s="20">
        <f t="shared" si="104"/>
        <v>0</v>
      </c>
      <c r="AI354" s="20">
        <f>IF($D$2="JA",Dashboard!$K$26-$AH$11+AH354,Dashboard!$K$26)</f>
        <v>2.3800000000000002E-2</v>
      </c>
      <c r="AJ354" s="27">
        <f>Tabel2[[#This Row],[Schuldrest]]*AI354/12</f>
        <v>25.917445807540947</v>
      </c>
      <c r="AK354" s="20">
        <f>IF($D$2="JA",Dashboard!$K$27-$AH$11+AH354,Dashboard!$K$27)</f>
        <v>2.3800000000000002E-2</v>
      </c>
      <c r="AL354" s="27">
        <f t="shared" si="90"/>
        <v>0</v>
      </c>
      <c r="AM354" s="20">
        <f>IF($D$2="JA",Dashboard!$K$28-$AH$11+AH354,Dashboard!$K$28)</f>
        <v>2.3800000000000002E-2</v>
      </c>
      <c r="AN354" s="27">
        <f t="shared" si="91"/>
        <v>0</v>
      </c>
      <c r="AO354" s="63">
        <f>Tabel2[[#This Row],[Aflossing]]+V354</f>
        <v>756.55956433501262</v>
      </c>
      <c r="AP354" s="63">
        <f t="shared" si="105"/>
        <v>25.917445807540947</v>
      </c>
      <c r="AQ354" s="2">
        <f t="shared" si="92"/>
        <v>30.109491509081938</v>
      </c>
      <c r="AU354" s="20"/>
      <c r="AV354" s="20"/>
    </row>
    <row r="355" spans="1:48">
      <c r="A355" s="71">
        <v>344</v>
      </c>
      <c r="B355" s="77">
        <f t="shared" si="93"/>
        <v>12311.060170559582</v>
      </c>
      <c r="C355" s="73">
        <f>B355/Dashboard!$I$25</f>
        <v>4.924424068223833E-2</v>
      </c>
      <c r="D355" s="74">
        <f t="shared" si="94"/>
        <v>0</v>
      </c>
      <c r="E355" s="73">
        <f>IF($D$2="JA",Dashboard!$K$26-$D$11+D355,Dashboard!$K$26)</f>
        <v>2.3800000000000002E-2</v>
      </c>
      <c r="F355" s="72">
        <f t="shared" si="95"/>
        <v>24.416936004943171</v>
      </c>
      <c r="G355" s="72">
        <f t="shared" si="106"/>
        <v>758.06007413761017</v>
      </c>
      <c r="H355" s="72">
        <f>IFERROR(-PMT(E355^1/12,Dashboard!$I$30-A355,B355),0)</f>
        <v>782.47701014255335</v>
      </c>
      <c r="I355" s="75">
        <f t="shared" si="96"/>
        <v>782.47701014255335</v>
      </c>
      <c r="J355" s="76">
        <f t="shared" si="107"/>
        <v>12702.885518669907</v>
      </c>
      <c r="K355" s="76">
        <f>J355*Dashboard!$K$26/12</f>
        <v>28.369777658362793</v>
      </c>
      <c r="L355" s="76">
        <f t="shared" si="97"/>
        <v>780.7160649189924</v>
      </c>
      <c r="M355" s="76">
        <f>IF(H355=0,0,IFERROR(-PMT(Dashboard!$K$26^1/12,Dashboard!$I$30,Dashboard!$I$26),0))</f>
        <v>809.08584257735515</v>
      </c>
      <c r="P355" s="59">
        <v>344</v>
      </c>
      <c r="Q355" s="28">
        <f t="shared" si="98"/>
        <v>0</v>
      </c>
      <c r="R355" s="20">
        <f>Q355/Dashboard!$I$25</f>
        <v>0</v>
      </c>
      <c r="S355" s="20">
        <f t="shared" si="99"/>
        <v>0</v>
      </c>
      <c r="T355" s="20">
        <f>IF($D$2="JA",Dashboard!$K$27-$S$11+S355,Dashboard!$K$27)</f>
        <v>2.6800000000000001E-2</v>
      </c>
      <c r="U355" s="27">
        <f t="shared" si="100"/>
        <v>0</v>
      </c>
      <c r="V355" s="26">
        <f>IF(Q355&lt;=1,0,Dashboard!$I$27/Dashboard!$I$30)</f>
        <v>0</v>
      </c>
      <c r="W355" s="28">
        <f>Q355*Dashboard!$K$27/12</f>
        <v>0</v>
      </c>
      <c r="Y355" s="59">
        <v>344</v>
      </c>
      <c r="Z355" s="67">
        <f>Dashboard!$I$28</f>
        <v>0</v>
      </c>
      <c r="AA355" s="64">
        <f>IF(Z355&lt;=1,0,Dashboard!$I$30-Y355)</f>
        <v>0</v>
      </c>
      <c r="AB355" s="64">
        <f t="shared" si="101"/>
        <v>0</v>
      </c>
      <c r="AC355" s="1">
        <f>Dashboard!$K$28</f>
        <v>2.6800000000000001E-2</v>
      </c>
      <c r="AD355" s="28">
        <f t="shared" si="102"/>
        <v>0</v>
      </c>
      <c r="AF355" s="2">
        <f t="shared" si="103"/>
        <v>12311.060170559582</v>
      </c>
      <c r="AG355" s="62">
        <f>(B355+Q355+Z355)/Dashboard!$I$25</f>
        <v>4.924424068223833E-2</v>
      </c>
      <c r="AH355" s="20">
        <f t="shared" si="104"/>
        <v>0</v>
      </c>
      <c r="AI355" s="20">
        <f>IF($D$2="JA",Dashboard!$K$26-$AH$11+AH355,Dashboard!$K$26)</f>
        <v>2.3800000000000002E-2</v>
      </c>
      <c r="AJ355" s="27">
        <f>Tabel2[[#This Row],[Schuldrest]]*AI355/12</f>
        <v>24.416936004943171</v>
      </c>
      <c r="AK355" s="20">
        <f>IF($D$2="JA",Dashboard!$K$27-$AH$11+AH355,Dashboard!$K$27)</f>
        <v>2.3800000000000002E-2</v>
      </c>
      <c r="AL355" s="27">
        <f t="shared" si="90"/>
        <v>0</v>
      </c>
      <c r="AM355" s="20">
        <f>IF($D$2="JA",Dashboard!$K$28-$AH$11+AH355,Dashboard!$K$28)</f>
        <v>2.3800000000000002E-2</v>
      </c>
      <c r="AN355" s="27">
        <f t="shared" si="91"/>
        <v>0</v>
      </c>
      <c r="AO355" s="63">
        <f>Tabel2[[#This Row],[Aflossing]]+V355</f>
        <v>758.06007413761017</v>
      </c>
      <c r="AP355" s="63">
        <f t="shared" si="105"/>
        <v>24.416936004943171</v>
      </c>
      <c r="AQ355" s="2">
        <f t="shared" si="92"/>
        <v>28.369777658362793</v>
      </c>
      <c r="AU355" s="20"/>
      <c r="AV355" s="20"/>
    </row>
    <row r="356" spans="1:48">
      <c r="A356" s="71">
        <v>345</v>
      </c>
      <c r="B356" s="77">
        <f t="shared" si="93"/>
        <v>11553.000096421973</v>
      </c>
      <c r="C356" s="73">
        <f>B356/Dashboard!$I$25</f>
        <v>4.6212000385687887E-2</v>
      </c>
      <c r="D356" s="74">
        <f t="shared" si="94"/>
        <v>0</v>
      </c>
      <c r="E356" s="73">
        <f>IF($D$2="JA",Dashboard!$K$26-$D$11+D356,Dashboard!$K$26)</f>
        <v>2.3800000000000002E-2</v>
      </c>
      <c r="F356" s="72">
        <f t="shared" si="95"/>
        <v>22.913450191236915</v>
      </c>
      <c r="G356" s="72">
        <f t="shared" si="106"/>
        <v>759.56355995131662</v>
      </c>
      <c r="H356" s="72">
        <f>IFERROR(-PMT(E356^1/12,Dashboard!$I$30-A356,B356),0)</f>
        <v>782.47701014255358</v>
      </c>
      <c r="I356" s="75">
        <f t="shared" si="96"/>
        <v>782.47701014255358</v>
      </c>
      <c r="J356" s="76">
        <f t="shared" si="107"/>
        <v>11922.169453750916</v>
      </c>
      <c r="K356" s="76">
        <f>J356*Dashboard!$K$26/12</f>
        <v>26.62617844671038</v>
      </c>
      <c r="L356" s="76">
        <f t="shared" si="97"/>
        <v>782.4596641306448</v>
      </c>
      <c r="M356" s="76">
        <f>IF(H356=0,0,IFERROR(-PMT(Dashboard!$K$26^1/12,Dashboard!$I$30,Dashboard!$I$26),0))</f>
        <v>809.08584257735515</v>
      </c>
      <c r="P356" s="59">
        <v>345</v>
      </c>
      <c r="Q356" s="28">
        <f t="shared" si="98"/>
        <v>0</v>
      </c>
      <c r="R356" s="20">
        <f>Q356/Dashboard!$I$25</f>
        <v>0</v>
      </c>
      <c r="S356" s="20">
        <f t="shared" si="99"/>
        <v>0</v>
      </c>
      <c r="T356" s="20">
        <f>IF($D$2="JA",Dashboard!$K$27-$S$11+S356,Dashboard!$K$27)</f>
        <v>2.6800000000000001E-2</v>
      </c>
      <c r="U356" s="27">
        <f t="shared" si="100"/>
        <v>0</v>
      </c>
      <c r="V356" s="26">
        <f>IF(Q356&lt;=1,0,Dashboard!$I$27/Dashboard!$I$30)</f>
        <v>0</v>
      </c>
      <c r="W356" s="28">
        <f>Q356*Dashboard!$K$27/12</f>
        <v>0</v>
      </c>
      <c r="Y356" s="59">
        <v>345</v>
      </c>
      <c r="Z356" s="67">
        <f>Dashboard!$I$28</f>
        <v>0</v>
      </c>
      <c r="AA356" s="64">
        <f>IF(Z356&lt;=1,0,Dashboard!$I$30-Y356)</f>
        <v>0</v>
      </c>
      <c r="AB356" s="64">
        <f t="shared" si="101"/>
        <v>0</v>
      </c>
      <c r="AC356" s="1">
        <f>Dashboard!$K$28</f>
        <v>2.6800000000000001E-2</v>
      </c>
      <c r="AD356" s="28">
        <f t="shared" si="102"/>
        <v>0</v>
      </c>
      <c r="AF356" s="2">
        <f t="shared" si="103"/>
        <v>11553.000096421973</v>
      </c>
      <c r="AG356" s="62">
        <f>(B356+Q356+Z356)/Dashboard!$I$25</f>
        <v>4.6212000385687887E-2</v>
      </c>
      <c r="AH356" s="20">
        <f t="shared" si="104"/>
        <v>0</v>
      </c>
      <c r="AI356" s="20">
        <f>IF($D$2="JA",Dashboard!$K$26-$AH$11+AH356,Dashboard!$K$26)</f>
        <v>2.3800000000000002E-2</v>
      </c>
      <c r="AJ356" s="27">
        <f>Tabel2[[#This Row],[Schuldrest]]*AI356/12</f>
        <v>22.913450191236915</v>
      </c>
      <c r="AK356" s="20">
        <f>IF($D$2="JA",Dashboard!$K$27-$AH$11+AH356,Dashboard!$K$27)</f>
        <v>2.3800000000000002E-2</v>
      </c>
      <c r="AL356" s="27">
        <f t="shared" si="90"/>
        <v>0</v>
      </c>
      <c r="AM356" s="20">
        <f>IF($D$2="JA",Dashboard!$K$28-$AH$11+AH356,Dashboard!$K$28)</f>
        <v>2.3800000000000002E-2</v>
      </c>
      <c r="AN356" s="27">
        <f t="shared" si="91"/>
        <v>0</v>
      </c>
      <c r="AO356" s="63">
        <f>Tabel2[[#This Row],[Aflossing]]+V356</f>
        <v>759.56355995131662</v>
      </c>
      <c r="AP356" s="63">
        <f t="shared" si="105"/>
        <v>22.913450191236915</v>
      </c>
      <c r="AQ356" s="2">
        <f t="shared" si="92"/>
        <v>26.62617844671038</v>
      </c>
      <c r="AU356" s="20"/>
      <c r="AV356" s="20"/>
    </row>
    <row r="357" spans="1:48">
      <c r="A357" s="71">
        <v>346</v>
      </c>
      <c r="B357" s="77">
        <f t="shared" si="93"/>
        <v>10793.436536470655</v>
      </c>
      <c r="C357" s="73">
        <f>B357/Dashboard!$I$25</f>
        <v>4.3173746145882624E-2</v>
      </c>
      <c r="D357" s="74">
        <f t="shared" si="94"/>
        <v>0</v>
      </c>
      <c r="E357" s="73">
        <f>IF($D$2="JA",Dashboard!$K$26-$D$11+D357,Dashboard!$K$26)</f>
        <v>2.3800000000000002E-2</v>
      </c>
      <c r="F357" s="72">
        <f t="shared" si="95"/>
        <v>21.406982464000137</v>
      </c>
      <c r="G357" s="72">
        <f t="shared" si="106"/>
        <v>761.07002767855317</v>
      </c>
      <c r="H357" s="72">
        <f>IFERROR(-PMT(E357^1/12,Dashboard!$I$30-A357,B357),0)</f>
        <v>782.47701014255335</v>
      </c>
      <c r="I357" s="75">
        <f t="shared" si="96"/>
        <v>782.47701014255335</v>
      </c>
      <c r="J357" s="76">
        <f t="shared" si="107"/>
        <v>11139.70978962027</v>
      </c>
      <c r="K357" s="76">
        <f>J357*Dashboard!$K$26/12</f>
        <v>24.878685196818605</v>
      </c>
      <c r="L357" s="76">
        <f t="shared" si="97"/>
        <v>784.2071573805365</v>
      </c>
      <c r="M357" s="76">
        <f>IF(H357=0,0,IFERROR(-PMT(Dashboard!$K$26^1/12,Dashboard!$I$30,Dashboard!$I$26),0))</f>
        <v>809.08584257735515</v>
      </c>
      <c r="P357" s="59">
        <v>346</v>
      </c>
      <c r="Q357" s="28">
        <f t="shared" si="98"/>
        <v>0</v>
      </c>
      <c r="R357" s="20">
        <f>Q357/Dashboard!$I$25</f>
        <v>0</v>
      </c>
      <c r="S357" s="20">
        <f t="shared" si="99"/>
        <v>0</v>
      </c>
      <c r="T357" s="20">
        <f>IF($D$2="JA",Dashboard!$K$27-$S$11+S357,Dashboard!$K$27)</f>
        <v>2.6800000000000001E-2</v>
      </c>
      <c r="U357" s="27">
        <f t="shared" si="100"/>
        <v>0</v>
      </c>
      <c r="V357" s="26">
        <f>IF(Q357&lt;=1,0,Dashboard!$I$27/Dashboard!$I$30)</f>
        <v>0</v>
      </c>
      <c r="W357" s="28">
        <f>Q357*Dashboard!$K$27/12</f>
        <v>0</v>
      </c>
      <c r="Y357" s="59">
        <v>346</v>
      </c>
      <c r="Z357" s="67">
        <f>Dashboard!$I$28</f>
        <v>0</v>
      </c>
      <c r="AA357" s="64">
        <f>IF(Z357&lt;=1,0,Dashboard!$I$30-Y357)</f>
        <v>0</v>
      </c>
      <c r="AB357" s="64">
        <f t="shared" si="101"/>
        <v>0</v>
      </c>
      <c r="AC357" s="1">
        <f>Dashboard!$K$28</f>
        <v>2.6800000000000001E-2</v>
      </c>
      <c r="AD357" s="28">
        <f t="shared" si="102"/>
        <v>0</v>
      </c>
      <c r="AF357" s="2">
        <f t="shared" si="103"/>
        <v>10793.436536470655</v>
      </c>
      <c r="AG357" s="62">
        <f>(B357+Q357+Z357)/Dashboard!$I$25</f>
        <v>4.3173746145882624E-2</v>
      </c>
      <c r="AH357" s="20">
        <f t="shared" si="104"/>
        <v>0</v>
      </c>
      <c r="AI357" s="20">
        <f>IF($D$2="JA",Dashboard!$K$26-$AH$11+AH357,Dashboard!$K$26)</f>
        <v>2.3800000000000002E-2</v>
      </c>
      <c r="AJ357" s="27">
        <f>Tabel2[[#This Row],[Schuldrest]]*AI357/12</f>
        <v>21.406982464000137</v>
      </c>
      <c r="AK357" s="20">
        <f>IF($D$2="JA",Dashboard!$K$27-$AH$11+AH357,Dashboard!$K$27)</f>
        <v>2.3800000000000002E-2</v>
      </c>
      <c r="AL357" s="27">
        <f t="shared" si="90"/>
        <v>0</v>
      </c>
      <c r="AM357" s="20">
        <f>IF($D$2="JA",Dashboard!$K$28-$AH$11+AH357,Dashboard!$K$28)</f>
        <v>2.3800000000000002E-2</v>
      </c>
      <c r="AN357" s="27">
        <f t="shared" si="91"/>
        <v>0</v>
      </c>
      <c r="AO357" s="63">
        <f>Tabel2[[#This Row],[Aflossing]]+V357</f>
        <v>761.07002767855317</v>
      </c>
      <c r="AP357" s="63">
        <f t="shared" si="105"/>
        <v>21.406982464000137</v>
      </c>
      <c r="AQ357" s="2">
        <f t="shared" si="92"/>
        <v>24.878685196818605</v>
      </c>
      <c r="AU357" s="20"/>
      <c r="AV357" s="20"/>
    </row>
    <row r="358" spans="1:48">
      <c r="A358" s="71">
        <v>347</v>
      </c>
      <c r="B358" s="77">
        <f t="shared" si="93"/>
        <v>10032.366508792102</v>
      </c>
      <c r="C358" s="73">
        <f>B358/Dashboard!$I$25</f>
        <v>4.0129466035168405E-2</v>
      </c>
      <c r="D358" s="74">
        <f t="shared" si="94"/>
        <v>0</v>
      </c>
      <c r="E358" s="73">
        <f>IF($D$2="JA",Dashboard!$K$26-$D$11+D358,Dashboard!$K$26)</f>
        <v>2.3800000000000002E-2</v>
      </c>
      <c r="F358" s="72">
        <f t="shared" si="95"/>
        <v>19.897526909104336</v>
      </c>
      <c r="G358" s="72">
        <f t="shared" si="106"/>
        <v>762.57948323344897</v>
      </c>
      <c r="H358" s="72">
        <f>IFERROR(-PMT(E358^1/12,Dashboard!$I$30-A358,B358),0)</f>
        <v>782.47701014255335</v>
      </c>
      <c r="I358" s="75">
        <f t="shared" si="96"/>
        <v>782.47701014255335</v>
      </c>
      <c r="J358" s="76">
        <f t="shared" si="107"/>
        <v>10355.502632239733</v>
      </c>
      <c r="K358" s="76">
        <f>J358*Dashboard!$K$26/12</f>
        <v>23.127289212002072</v>
      </c>
      <c r="L358" s="76">
        <f t="shared" si="97"/>
        <v>785.95855336535305</v>
      </c>
      <c r="M358" s="76">
        <f>IF(H358=0,0,IFERROR(-PMT(Dashboard!$K$26^1/12,Dashboard!$I$30,Dashboard!$I$26),0))</f>
        <v>809.08584257735515</v>
      </c>
      <c r="P358" s="59">
        <v>347</v>
      </c>
      <c r="Q358" s="28">
        <f t="shared" si="98"/>
        <v>0</v>
      </c>
      <c r="R358" s="20">
        <f>Q358/Dashboard!$I$25</f>
        <v>0</v>
      </c>
      <c r="S358" s="20">
        <f t="shared" si="99"/>
        <v>0</v>
      </c>
      <c r="T358" s="20">
        <f>IF($D$2="JA",Dashboard!$K$27-$S$11+S358,Dashboard!$K$27)</f>
        <v>2.6800000000000001E-2</v>
      </c>
      <c r="U358" s="27">
        <f t="shared" si="100"/>
        <v>0</v>
      </c>
      <c r="V358" s="26">
        <f>IF(Q358&lt;=1,0,Dashboard!$I$27/Dashboard!$I$30)</f>
        <v>0</v>
      </c>
      <c r="W358" s="28">
        <f>Q358*Dashboard!$K$27/12</f>
        <v>0</v>
      </c>
      <c r="Y358" s="59">
        <v>347</v>
      </c>
      <c r="Z358" s="67">
        <f>Dashboard!$I$28</f>
        <v>0</v>
      </c>
      <c r="AA358" s="64">
        <f>IF(Z358&lt;=1,0,Dashboard!$I$30-Y358)</f>
        <v>0</v>
      </c>
      <c r="AB358" s="64">
        <f t="shared" si="101"/>
        <v>0</v>
      </c>
      <c r="AC358" s="1">
        <f>Dashboard!$K$28</f>
        <v>2.6800000000000001E-2</v>
      </c>
      <c r="AD358" s="28">
        <f t="shared" si="102"/>
        <v>0</v>
      </c>
      <c r="AF358" s="2">
        <f t="shared" si="103"/>
        <v>10032.366508792102</v>
      </c>
      <c r="AG358" s="62">
        <f>(B358+Q358+Z358)/Dashboard!$I$25</f>
        <v>4.0129466035168405E-2</v>
      </c>
      <c r="AH358" s="20">
        <f t="shared" si="104"/>
        <v>0</v>
      </c>
      <c r="AI358" s="20">
        <f>IF($D$2="JA",Dashboard!$K$26-$AH$11+AH358,Dashboard!$K$26)</f>
        <v>2.3800000000000002E-2</v>
      </c>
      <c r="AJ358" s="27">
        <f>Tabel2[[#This Row],[Schuldrest]]*AI358/12</f>
        <v>19.897526909104336</v>
      </c>
      <c r="AK358" s="20">
        <f>IF($D$2="JA",Dashboard!$K$27-$AH$11+AH358,Dashboard!$K$27)</f>
        <v>2.3800000000000002E-2</v>
      </c>
      <c r="AL358" s="27">
        <f t="shared" si="90"/>
        <v>0</v>
      </c>
      <c r="AM358" s="20">
        <f>IF($D$2="JA",Dashboard!$K$28-$AH$11+AH358,Dashboard!$K$28)</f>
        <v>2.3800000000000002E-2</v>
      </c>
      <c r="AN358" s="27">
        <f t="shared" si="91"/>
        <v>0</v>
      </c>
      <c r="AO358" s="63">
        <f>Tabel2[[#This Row],[Aflossing]]+V358</f>
        <v>762.57948323344897</v>
      </c>
      <c r="AP358" s="63">
        <f t="shared" si="105"/>
        <v>19.897526909104336</v>
      </c>
      <c r="AQ358" s="2">
        <f t="shared" si="92"/>
        <v>23.127289212002072</v>
      </c>
      <c r="AU358" s="20"/>
      <c r="AV358" s="20"/>
    </row>
    <row r="359" spans="1:48">
      <c r="A359" s="71">
        <v>348</v>
      </c>
      <c r="B359" s="77">
        <f t="shared" si="93"/>
        <v>9269.7870255586531</v>
      </c>
      <c r="C359" s="73">
        <f>B359/Dashboard!$I$25</f>
        <v>3.7079148102234616E-2</v>
      </c>
      <c r="D359" s="74">
        <f t="shared" si="94"/>
        <v>0</v>
      </c>
      <c r="E359" s="73">
        <f>IF($D$2="JA",Dashboard!$K$26-$D$11+D359,Dashboard!$K$26)</f>
        <v>2.3800000000000002E-2</v>
      </c>
      <c r="F359" s="72">
        <f t="shared" si="95"/>
        <v>18.385077600691329</v>
      </c>
      <c r="G359" s="72">
        <f t="shared" si="106"/>
        <v>764.09193254186198</v>
      </c>
      <c r="H359" s="72">
        <f>IFERROR(-PMT(E359^1/12,Dashboard!$I$30-A359,B359),0)</f>
        <v>782.47701014255335</v>
      </c>
      <c r="I359" s="75">
        <f t="shared" si="96"/>
        <v>782.47701014255335</v>
      </c>
      <c r="J359" s="76">
        <f t="shared" si="107"/>
        <v>9569.5440788743799</v>
      </c>
      <c r="K359" s="76">
        <f>J359*Dashboard!$K$26/12</f>
        <v>21.371981776152783</v>
      </c>
      <c r="L359" s="76">
        <f t="shared" si="97"/>
        <v>787.71386080120237</v>
      </c>
      <c r="M359" s="76">
        <f>IF(H359=0,0,IFERROR(-PMT(Dashboard!$K$26^1/12,Dashboard!$I$30,Dashboard!$I$26),0))</f>
        <v>809.08584257735515</v>
      </c>
      <c r="P359" s="59">
        <v>348</v>
      </c>
      <c r="Q359" s="28">
        <f t="shared" si="98"/>
        <v>0</v>
      </c>
      <c r="R359" s="20">
        <f>Q359/Dashboard!$I$25</f>
        <v>0</v>
      </c>
      <c r="S359" s="20">
        <f t="shared" si="99"/>
        <v>0</v>
      </c>
      <c r="T359" s="20">
        <f>IF($D$2="JA",Dashboard!$K$27-$S$11+S359,Dashboard!$K$27)</f>
        <v>2.6800000000000001E-2</v>
      </c>
      <c r="U359" s="27">
        <f t="shared" si="100"/>
        <v>0</v>
      </c>
      <c r="V359" s="26">
        <f>IF(Q359&lt;=1,0,Dashboard!$I$27/Dashboard!$I$30)</f>
        <v>0</v>
      </c>
      <c r="W359" s="28">
        <f>Q359*Dashboard!$K$27/12</f>
        <v>0</v>
      </c>
      <c r="Y359" s="59">
        <v>348</v>
      </c>
      <c r="Z359" s="67">
        <f>Dashboard!$I$28</f>
        <v>0</v>
      </c>
      <c r="AA359" s="64">
        <f>IF(Z359&lt;=1,0,Dashboard!$I$30-Y359)</f>
        <v>0</v>
      </c>
      <c r="AB359" s="64">
        <f t="shared" si="101"/>
        <v>0</v>
      </c>
      <c r="AC359" s="1">
        <f>Dashboard!$K$28</f>
        <v>2.6800000000000001E-2</v>
      </c>
      <c r="AD359" s="28">
        <f t="shared" si="102"/>
        <v>0</v>
      </c>
      <c r="AF359" s="2">
        <f t="shared" si="103"/>
        <v>9269.7870255586531</v>
      </c>
      <c r="AG359" s="62">
        <f>(B359+Q359+Z359)/Dashboard!$I$25</f>
        <v>3.7079148102234616E-2</v>
      </c>
      <c r="AH359" s="20">
        <f t="shared" si="104"/>
        <v>0</v>
      </c>
      <c r="AI359" s="20">
        <f>IF($D$2="JA",Dashboard!$K$26-$AH$11+AH359,Dashboard!$K$26)</f>
        <v>2.3800000000000002E-2</v>
      </c>
      <c r="AJ359" s="27">
        <f>Tabel2[[#This Row],[Schuldrest]]*AI359/12</f>
        <v>18.385077600691329</v>
      </c>
      <c r="AK359" s="20">
        <f>IF($D$2="JA",Dashboard!$K$27-$AH$11+AH359,Dashboard!$K$27)</f>
        <v>2.3800000000000002E-2</v>
      </c>
      <c r="AL359" s="27">
        <f t="shared" si="90"/>
        <v>0</v>
      </c>
      <c r="AM359" s="20">
        <f>IF($D$2="JA",Dashboard!$K$28-$AH$11+AH359,Dashboard!$K$28)</f>
        <v>2.3800000000000002E-2</v>
      </c>
      <c r="AN359" s="27">
        <f t="shared" si="91"/>
        <v>0</v>
      </c>
      <c r="AO359" s="63">
        <f>Tabel2[[#This Row],[Aflossing]]+V359</f>
        <v>764.09193254186198</v>
      </c>
      <c r="AP359" s="63">
        <f t="shared" si="105"/>
        <v>18.385077600691329</v>
      </c>
      <c r="AQ359" s="2">
        <f t="shared" si="92"/>
        <v>21.371981776152783</v>
      </c>
      <c r="AU359" s="20"/>
      <c r="AV359" s="20"/>
    </row>
    <row r="360" spans="1:48">
      <c r="A360" s="71">
        <v>349</v>
      </c>
      <c r="B360" s="77">
        <f t="shared" si="93"/>
        <v>8505.6950930167914</v>
      </c>
      <c r="C360" s="73">
        <f>B360/Dashboard!$I$25</f>
        <v>3.4022780372067164E-2</v>
      </c>
      <c r="D360" s="74">
        <f t="shared" si="94"/>
        <v>0</v>
      </c>
      <c r="E360" s="73">
        <f>IF($D$2="JA",Dashboard!$K$26-$D$11+D360,Dashboard!$K$26)</f>
        <v>2.3800000000000002E-2</v>
      </c>
      <c r="F360" s="72">
        <f t="shared" si="95"/>
        <v>16.869628601149973</v>
      </c>
      <c r="G360" s="72">
        <f t="shared" si="106"/>
        <v>765.60738154140358</v>
      </c>
      <c r="H360" s="72">
        <f>IFERROR(-PMT(E360^1/12,Dashboard!$I$30-A360,B360),0)</f>
        <v>782.47701014255358</v>
      </c>
      <c r="I360" s="75">
        <f t="shared" si="96"/>
        <v>782.47701014255358</v>
      </c>
      <c r="J360" s="76">
        <f t="shared" si="107"/>
        <v>8781.8302180731771</v>
      </c>
      <c r="K360" s="76">
        <f>J360*Dashboard!$K$26/12</f>
        <v>19.612754153696763</v>
      </c>
      <c r="L360" s="76">
        <f t="shared" si="97"/>
        <v>789.4730884236584</v>
      </c>
      <c r="M360" s="76">
        <f>IF(H360=0,0,IFERROR(-PMT(Dashboard!$K$26^1/12,Dashboard!$I$30,Dashboard!$I$26),0))</f>
        <v>809.08584257735515</v>
      </c>
      <c r="P360" s="59">
        <v>349</v>
      </c>
      <c r="Q360" s="28">
        <f t="shared" si="98"/>
        <v>0</v>
      </c>
      <c r="R360" s="20">
        <f>Q360/Dashboard!$I$25</f>
        <v>0</v>
      </c>
      <c r="S360" s="20">
        <f t="shared" si="99"/>
        <v>0</v>
      </c>
      <c r="T360" s="20">
        <f>IF($D$2="JA",Dashboard!$K$27-$S$11+S360,Dashboard!$K$27)</f>
        <v>2.6800000000000001E-2</v>
      </c>
      <c r="U360" s="27">
        <f t="shared" si="100"/>
        <v>0</v>
      </c>
      <c r="V360" s="26">
        <f>IF(Q360&lt;=1,0,Dashboard!$I$27/Dashboard!$I$30)</f>
        <v>0</v>
      </c>
      <c r="W360" s="28">
        <f>Q360*Dashboard!$K$27/12</f>
        <v>0</v>
      </c>
      <c r="Y360" s="59">
        <v>349</v>
      </c>
      <c r="Z360" s="67">
        <f>Dashboard!$I$28</f>
        <v>0</v>
      </c>
      <c r="AA360" s="64">
        <f>IF(Z360&lt;=1,0,Dashboard!$I$30-Y360)</f>
        <v>0</v>
      </c>
      <c r="AB360" s="64">
        <f t="shared" si="101"/>
        <v>0</v>
      </c>
      <c r="AC360" s="1">
        <f>Dashboard!$K$28</f>
        <v>2.6800000000000001E-2</v>
      </c>
      <c r="AD360" s="28">
        <f t="shared" si="102"/>
        <v>0</v>
      </c>
      <c r="AF360" s="2">
        <f t="shared" si="103"/>
        <v>8505.6950930167914</v>
      </c>
      <c r="AG360" s="62">
        <f>(B360+Q360+Z360)/Dashboard!$I$25</f>
        <v>3.4022780372067164E-2</v>
      </c>
      <c r="AH360" s="20">
        <f t="shared" si="104"/>
        <v>0</v>
      </c>
      <c r="AI360" s="20">
        <f>IF($D$2="JA",Dashboard!$K$26-$AH$11+AH360,Dashboard!$K$26)</f>
        <v>2.3800000000000002E-2</v>
      </c>
      <c r="AJ360" s="27">
        <f>Tabel2[[#This Row],[Schuldrest]]*AI360/12</f>
        <v>16.869628601149973</v>
      </c>
      <c r="AK360" s="20">
        <f>IF($D$2="JA",Dashboard!$K$27-$AH$11+AH360,Dashboard!$K$27)</f>
        <v>2.3800000000000002E-2</v>
      </c>
      <c r="AL360" s="27">
        <f t="shared" si="90"/>
        <v>0</v>
      </c>
      <c r="AM360" s="20">
        <f>IF($D$2="JA",Dashboard!$K$28-$AH$11+AH360,Dashboard!$K$28)</f>
        <v>2.3800000000000002E-2</v>
      </c>
      <c r="AN360" s="27">
        <f t="shared" si="91"/>
        <v>0</v>
      </c>
      <c r="AO360" s="63">
        <f>Tabel2[[#This Row],[Aflossing]]+V360</f>
        <v>765.60738154140358</v>
      </c>
      <c r="AP360" s="63">
        <f t="shared" si="105"/>
        <v>16.869628601149973</v>
      </c>
      <c r="AQ360" s="2">
        <f t="shared" si="92"/>
        <v>19.612754153696763</v>
      </c>
      <c r="AU360" s="20"/>
      <c r="AV360" s="20"/>
    </row>
    <row r="361" spans="1:48">
      <c r="A361" s="71">
        <v>350</v>
      </c>
      <c r="B361" s="77">
        <f t="shared" si="93"/>
        <v>7740.0877114753876</v>
      </c>
      <c r="C361" s="73">
        <f>B361/Dashboard!$I$25</f>
        <v>3.0960350845901551E-2</v>
      </c>
      <c r="D361" s="74">
        <f t="shared" si="94"/>
        <v>0</v>
      </c>
      <c r="E361" s="73">
        <f>IF($D$2="JA",Dashboard!$K$26-$D$11+D361,Dashboard!$K$26)</f>
        <v>2.3800000000000002E-2</v>
      </c>
      <c r="F361" s="72">
        <f t="shared" si="95"/>
        <v>15.351173961092853</v>
      </c>
      <c r="G361" s="72">
        <f t="shared" si="106"/>
        <v>767.1258361814605</v>
      </c>
      <c r="H361" s="72">
        <f>IFERROR(-PMT(E361^1/12,Dashboard!$I$30-A361,B361),0)</f>
        <v>782.47701014255335</v>
      </c>
      <c r="I361" s="75">
        <f t="shared" si="96"/>
        <v>782.47701014255335</v>
      </c>
      <c r="J361" s="76">
        <f t="shared" si="107"/>
        <v>7992.3571296495184</v>
      </c>
      <c r="K361" s="76">
        <f>J361*Dashboard!$K$26/12</f>
        <v>17.849597589550591</v>
      </c>
      <c r="L361" s="76">
        <f t="shared" si="97"/>
        <v>791.23624498780453</v>
      </c>
      <c r="M361" s="76">
        <f>IF(H361=0,0,IFERROR(-PMT(Dashboard!$K$26^1/12,Dashboard!$I$30,Dashboard!$I$26),0))</f>
        <v>809.08584257735515</v>
      </c>
      <c r="P361" s="59">
        <v>350</v>
      </c>
      <c r="Q361" s="28">
        <f t="shared" si="98"/>
        <v>0</v>
      </c>
      <c r="R361" s="20">
        <f>Q361/Dashboard!$I$25</f>
        <v>0</v>
      </c>
      <c r="S361" s="20">
        <f t="shared" si="99"/>
        <v>0</v>
      </c>
      <c r="T361" s="20">
        <f>IF($D$2="JA",Dashboard!$K$27-$S$11+S361,Dashboard!$K$27)</f>
        <v>2.6800000000000001E-2</v>
      </c>
      <c r="U361" s="27">
        <f t="shared" si="100"/>
        <v>0</v>
      </c>
      <c r="V361" s="26">
        <f>IF(Q361&lt;=1,0,Dashboard!$I$27/Dashboard!$I$30)</f>
        <v>0</v>
      </c>
      <c r="W361" s="28">
        <f>Q361*Dashboard!$K$27/12</f>
        <v>0</v>
      </c>
      <c r="Y361" s="59">
        <v>350</v>
      </c>
      <c r="Z361" s="67">
        <f>Dashboard!$I$28</f>
        <v>0</v>
      </c>
      <c r="AA361" s="64">
        <f>IF(Z361&lt;=1,0,Dashboard!$I$30-Y361)</f>
        <v>0</v>
      </c>
      <c r="AB361" s="64">
        <f t="shared" si="101"/>
        <v>0</v>
      </c>
      <c r="AC361" s="1">
        <f>Dashboard!$K$28</f>
        <v>2.6800000000000001E-2</v>
      </c>
      <c r="AD361" s="28">
        <f t="shared" si="102"/>
        <v>0</v>
      </c>
      <c r="AF361" s="2">
        <f t="shared" si="103"/>
        <v>7740.0877114753876</v>
      </c>
      <c r="AG361" s="62">
        <f>(B361+Q361+Z361)/Dashboard!$I$25</f>
        <v>3.0960350845901551E-2</v>
      </c>
      <c r="AH361" s="20">
        <f t="shared" si="104"/>
        <v>0</v>
      </c>
      <c r="AI361" s="20">
        <f>IF($D$2="JA",Dashboard!$K$26-$AH$11+AH361,Dashboard!$K$26)</f>
        <v>2.3800000000000002E-2</v>
      </c>
      <c r="AJ361" s="27">
        <f>Tabel2[[#This Row],[Schuldrest]]*AI361/12</f>
        <v>15.351173961092853</v>
      </c>
      <c r="AK361" s="20">
        <f>IF($D$2="JA",Dashboard!$K$27-$AH$11+AH361,Dashboard!$K$27)</f>
        <v>2.3800000000000002E-2</v>
      </c>
      <c r="AL361" s="27">
        <f t="shared" si="90"/>
        <v>0</v>
      </c>
      <c r="AM361" s="20">
        <f>IF($D$2="JA",Dashboard!$K$28-$AH$11+AH361,Dashboard!$K$28)</f>
        <v>2.3800000000000002E-2</v>
      </c>
      <c r="AN361" s="27">
        <f t="shared" si="91"/>
        <v>0</v>
      </c>
      <c r="AO361" s="63">
        <f>Tabel2[[#This Row],[Aflossing]]+V361</f>
        <v>767.1258361814605</v>
      </c>
      <c r="AP361" s="63">
        <f t="shared" si="105"/>
        <v>15.351173961092853</v>
      </c>
      <c r="AQ361" s="2">
        <f t="shared" si="92"/>
        <v>17.849597589550591</v>
      </c>
      <c r="AU361" s="20"/>
      <c r="AV361" s="20"/>
    </row>
    <row r="362" spans="1:48">
      <c r="A362" s="71">
        <v>351</v>
      </c>
      <c r="B362" s="77">
        <f t="shared" si="93"/>
        <v>6972.9618752939268</v>
      </c>
      <c r="C362" s="73">
        <f>B362/Dashboard!$I$25</f>
        <v>2.7891847501175706E-2</v>
      </c>
      <c r="D362" s="74">
        <f t="shared" si="94"/>
        <v>0</v>
      </c>
      <c r="E362" s="73">
        <f>IF($D$2="JA",Dashboard!$K$26-$D$11+D362,Dashboard!$K$26)</f>
        <v>2.3800000000000002E-2</v>
      </c>
      <c r="F362" s="72">
        <f t="shared" si="95"/>
        <v>13.829707719332957</v>
      </c>
      <c r="G362" s="72">
        <f t="shared" si="106"/>
        <v>768.64730242322037</v>
      </c>
      <c r="H362" s="72">
        <f>IFERROR(-PMT(E362^1/12,Dashboard!$I$30-A362,B362),0)</f>
        <v>782.47701014255335</v>
      </c>
      <c r="I362" s="75">
        <f t="shared" si="96"/>
        <v>782.47701014255335</v>
      </c>
      <c r="J362" s="76">
        <f t="shared" si="107"/>
        <v>7201.1208846617137</v>
      </c>
      <c r="K362" s="76">
        <f>J362*Dashboard!$K$26/12</f>
        <v>16.082503309077826</v>
      </c>
      <c r="L362" s="76">
        <f t="shared" si="97"/>
        <v>793.00333926827727</v>
      </c>
      <c r="M362" s="76">
        <f>IF(H362=0,0,IFERROR(-PMT(Dashboard!$K$26^1/12,Dashboard!$I$30,Dashboard!$I$26),0))</f>
        <v>809.08584257735515</v>
      </c>
      <c r="P362" s="59">
        <v>351</v>
      </c>
      <c r="Q362" s="28">
        <f t="shared" si="98"/>
        <v>0</v>
      </c>
      <c r="R362" s="20">
        <f>Q362/Dashboard!$I$25</f>
        <v>0</v>
      </c>
      <c r="S362" s="20">
        <f t="shared" si="99"/>
        <v>0</v>
      </c>
      <c r="T362" s="20">
        <f>IF($D$2="JA",Dashboard!$K$27-$S$11+S362,Dashboard!$K$27)</f>
        <v>2.6800000000000001E-2</v>
      </c>
      <c r="U362" s="27">
        <f t="shared" si="100"/>
        <v>0</v>
      </c>
      <c r="V362" s="26">
        <f>IF(Q362&lt;=1,0,Dashboard!$I$27/Dashboard!$I$30)</f>
        <v>0</v>
      </c>
      <c r="W362" s="28">
        <f>Q362*Dashboard!$K$27/12</f>
        <v>0</v>
      </c>
      <c r="Y362" s="59">
        <v>351</v>
      </c>
      <c r="Z362" s="67">
        <f>Dashboard!$I$28</f>
        <v>0</v>
      </c>
      <c r="AA362" s="64">
        <f>IF(Z362&lt;=1,0,Dashboard!$I$30-Y362)</f>
        <v>0</v>
      </c>
      <c r="AB362" s="64">
        <f t="shared" si="101"/>
        <v>0</v>
      </c>
      <c r="AC362" s="1">
        <f>Dashboard!$K$28</f>
        <v>2.6800000000000001E-2</v>
      </c>
      <c r="AD362" s="28">
        <f t="shared" si="102"/>
        <v>0</v>
      </c>
      <c r="AF362" s="2">
        <f t="shared" si="103"/>
        <v>6972.9618752939268</v>
      </c>
      <c r="AG362" s="62">
        <f>(B362+Q362+Z362)/Dashboard!$I$25</f>
        <v>2.7891847501175706E-2</v>
      </c>
      <c r="AH362" s="20">
        <f t="shared" si="104"/>
        <v>0</v>
      </c>
      <c r="AI362" s="20">
        <f>IF($D$2="JA",Dashboard!$K$26-$AH$11+AH362,Dashboard!$K$26)</f>
        <v>2.3800000000000002E-2</v>
      </c>
      <c r="AJ362" s="27">
        <f>Tabel2[[#This Row],[Schuldrest]]*AI362/12</f>
        <v>13.829707719332957</v>
      </c>
      <c r="AK362" s="20">
        <f>IF($D$2="JA",Dashboard!$K$27-$AH$11+AH362,Dashboard!$K$27)</f>
        <v>2.3800000000000002E-2</v>
      </c>
      <c r="AL362" s="27">
        <f t="shared" si="90"/>
        <v>0</v>
      </c>
      <c r="AM362" s="20">
        <f>IF($D$2="JA",Dashboard!$K$28-$AH$11+AH362,Dashboard!$K$28)</f>
        <v>2.3800000000000002E-2</v>
      </c>
      <c r="AN362" s="27">
        <f t="shared" si="91"/>
        <v>0</v>
      </c>
      <c r="AO362" s="63">
        <f>Tabel2[[#This Row],[Aflossing]]+V362</f>
        <v>768.64730242322037</v>
      </c>
      <c r="AP362" s="63">
        <f t="shared" si="105"/>
        <v>13.829707719332957</v>
      </c>
      <c r="AQ362" s="2">
        <f t="shared" si="92"/>
        <v>16.082503309077826</v>
      </c>
      <c r="AU362" s="20"/>
      <c r="AV362" s="20"/>
    </row>
    <row r="363" spans="1:48">
      <c r="A363" s="71">
        <v>352</v>
      </c>
      <c r="B363" s="77">
        <f t="shared" si="93"/>
        <v>6204.3145728707068</v>
      </c>
      <c r="C363" s="73">
        <f>B363/Dashboard!$I$25</f>
        <v>2.4817258291482826E-2</v>
      </c>
      <c r="D363" s="74">
        <f t="shared" si="94"/>
        <v>0</v>
      </c>
      <c r="E363" s="73">
        <f>IF($D$2="JA",Dashboard!$K$26-$D$11+D363,Dashboard!$K$26)</f>
        <v>2.3800000000000002E-2</v>
      </c>
      <c r="F363" s="72">
        <f t="shared" si="95"/>
        <v>12.305223902860236</v>
      </c>
      <c r="G363" s="72">
        <f t="shared" si="106"/>
        <v>770.17178623969312</v>
      </c>
      <c r="H363" s="72">
        <f>IFERROR(-PMT(E363^1/12,Dashboard!$I$30-A363,B363),0)</f>
        <v>782.47701014255335</v>
      </c>
      <c r="I363" s="75">
        <f t="shared" si="96"/>
        <v>782.47701014255335</v>
      </c>
      <c r="J363" s="76">
        <f t="shared" si="107"/>
        <v>6408.1175453934366</v>
      </c>
      <c r="K363" s="76">
        <f>J363*Dashboard!$K$26/12</f>
        <v>14.311462518045341</v>
      </c>
      <c r="L363" s="76">
        <f t="shared" si="97"/>
        <v>794.77438005930981</v>
      </c>
      <c r="M363" s="76">
        <f>IF(H363=0,0,IFERROR(-PMT(Dashboard!$K$26^1/12,Dashboard!$I$30,Dashboard!$I$26),0))</f>
        <v>809.08584257735515</v>
      </c>
      <c r="P363" s="59">
        <v>352</v>
      </c>
      <c r="Q363" s="28">
        <f t="shared" si="98"/>
        <v>0</v>
      </c>
      <c r="R363" s="20">
        <f>Q363/Dashboard!$I$25</f>
        <v>0</v>
      </c>
      <c r="S363" s="20">
        <f t="shared" si="99"/>
        <v>0</v>
      </c>
      <c r="T363" s="20">
        <f>IF($D$2="JA",Dashboard!$K$27-$S$11+S363,Dashboard!$K$27)</f>
        <v>2.6800000000000001E-2</v>
      </c>
      <c r="U363" s="27">
        <f t="shared" si="100"/>
        <v>0</v>
      </c>
      <c r="V363" s="26">
        <f>IF(Q363&lt;=1,0,Dashboard!$I$27/Dashboard!$I$30)</f>
        <v>0</v>
      </c>
      <c r="W363" s="28">
        <f>Q363*Dashboard!$K$27/12</f>
        <v>0</v>
      </c>
      <c r="Y363" s="59">
        <v>352</v>
      </c>
      <c r="Z363" s="67">
        <f>Dashboard!$I$28</f>
        <v>0</v>
      </c>
      <c r="AA363" s="64">
        <f>IF(Z363&lt;=1,0,Dashboard!$I$30-Y363)</f>
        <v>0</v>
      </c>
      <c r="AB363" s="64">
        <f t="shared" si="101"/>
        <v>0</v>
      </c>
      <c r="AC363" s="1">
        <f>Dashboard!$K$28</f>
        <v>2.6800000000000001E-2</v>
      </c>
      <c r="AD363" s="28">
        <f t="shared" si="102"/>
        <v>0</v>
      </c>
      <c r="AF363" s="2">
        <f t="shared" si="103"/>
        <v>6204.3145728707068</v>
      </c>
      <c r="AG363" s="62">
        <f>(B363+Q363+Z363)/Dashboard!$I$25</f>
        <v>2.4817258291482826E-2</v>
      </c>
      <c r="AH363" s="20">
        <f t="shared" si="104"/>
        <v>0</v>
      </c>
      <c r="AI363" s="20">
        <f>IF($D$2="JA",Dashboard!$K$26-$AH$11+AH363,Dashboard!$K$26)</f>
        <v>2.3800000000000002E-2</v>
      </c>
      <c r="AJ363" s="27">
        <f>Tabel2[[#This Row],[Schuldrest]]*AI363/12</f>
        <v>12.305223902860236</v>
      </c>
      <c r="AK363" s="20">
        <f>IF($D$2="JA",Dashboard!$K$27-$AH$11+AH363,Dashboard!$K$27)</f>
        <v>2.3800000000000002E-2</v>
      </c>
      <c r="AL363" s="27">
        <f t="shared" si="90"/>
        <v>0</v>
      </c>
      <c r="AM363" s="20">
        <f>IF($D$2="JA",Dashboard!$K$28-$AH$11+AH363,Dashboard!$K$28)</f>
        <v>2.3800000000000002E-2</v>
      </c>
      <c r="AN363" s="27">
        <f t="shared" si="91"/>
        <v>0</v>
      </c>
      <c r="AO363" s="63">
        <f>Tabel2[[#This Row],[Aflossing]]+V363</f>
        <v>770.17178623969312</v>
      </c>
      <c r="AP363" s="63">
        <f t="shared" si="105"/>
        <v>12.305223902860236</v>
      </c>
      <c r="AQ363" s="2">
        <f t="shared" si="92"/>
        <v>14.311462518045341</v>
      </c>
      <c r="AU363" s="20"/>
      <c r="AV363" s="20"/>
    </row>
    <row r="364" spans="1:48">
      <c r="A364" s="71">
        <v>353</v>
      </c>
      <c r="B364" s="77">
        <f t="shared" si="93"/>
        <v>5434.1427866310132</v>
      </c>
      <c r="C364" s="73">
        <f>B364/Dashboard!$I$25</f>
        <v>2.1736571146524053E-2</v>
      </c>
      <c r="D364" s="74">
        <f t="shared" si="94"/>
        <v>0</v>
      </c>
      <c r="E364" s="73">
        <f>IF($D$2="JA",Dashboard!$K$26-$D$11+D364,Dashboard!$K$26)</f>
        <v>2.3800000000000002E-2</v>
      </c>
      <c r="F364" s="72">
        <f t="shared" si="95"/>
        <v>10.777716526818176</v>
      </c>
      <c r="G364" s="72">
        <f t="shared" si="106"/>
        <v>771.6992936157352</v>
      </c>
      <c r="H364" s="72">
        <f>IFERROR(-PMT(E364^1/12,Dashboard!$I$30-A364,B364),0)</f>
        <v>782.47701014255335</v>
      </c>
      <c r="I364" s="75">
        <f t="shared" si="96"/>
        <v>782.47701014255335</v>
      </c>
      <c r="J364" s="76">
        <f t="shared" si="107"/>
        <v>5613.3431653341268</v>
      </c>
      <c r="K364" s="76">
        <f>J364*Dashboard!$K$26/12</f>
        <v>12.536466402579549</v>
      </c>
      <c r="L364" s="76">
        <f t="shared" si="97"/>
        <v>796.5493761747756</v>
      </c>
      <c r="M364" s="76">
        <f>IF(H364=0,0,IFERROR(-PMT(Dashboard!$K$26^1/12,Dashboard!$I$30,Dashboard!$I$26),0))</f>
        <v>809.08584257735515</v>
      </c>
      <c r="P364" s="59">
        <v>353</v>
      </c>
      <c r="Q364" s="28">
        <f t="shared" si="98"/>
        <v>0</v>
      </c>
      <c r="R364" s="20">
        <f>Q364/Dashboard!$I$25</f>
        <v>0</v>
      </c>
      <c r="S364" s="20">
        <f t="shared" si="99"/>
        <v>0</v>
      </c>
      <c r="T364" s="20">
        <f>IF($D$2="JA",Dashboard!$K$27-$S$11+S364,Dashboard!$K$27)</f>
        <v>2.6800000000000001E-2</v>
      </c>
      <c r="U364" s="27">
        <f t="shared" si="100"/>
        <v>0</v>
      </c>
      <c r="V364" s="26">
        <f>IF(Q364&lt;=1,0,Dashboard!$I$27/Dashboard!$I$30)</f>
        <v>0</v>
      </c>
      <c r="W364" s="28">
        <f>Q364*Dashboard!$K$27/12</f>
        <v>0</v>
      </c>
      <c r="Y364" s="59">
        <v>353</v>
      </c>
      <c r="Z364" s="67">
        <f>Dashboard!$I$28</f>
        <v>0</v>
      </c>
      <c r="AA364" s="64">
        <f>IF(Z364&lt;=1,0,Dashboard!$I$30-Y364)</f>
        <v>0</v>
      </c>
      <c r="AB364" s="64">
        <f t="shared" si="101"/>
        <v>0</v>
      </c>
      <c r="AC364" s="1">
        <f>Dashboard!$K$28</f>
        <v>2.6800000000000001E-2</v>
      </c>
      <c r="AD364" s="28">
        <f t="shared" si="102"/>
        <v>0</v>
      </c>
      <c r="AF364" s="2">
        <f t="shared" si="103"/>
        <v>5434.1427866310132</v>
      </c>
      <c r="AG364" s="62">
        <f>(B364+Q364+Z364)/Dashboard!$I$25</f>
        <v>2.1736571146524053E-2</v>
      </c>
      <c r="AH364" s="20">
        <f t="shared" si="104"/>
        <v>0</v>
      </c>
      <c r="AI364" s="20">
        <f>IF($D$2="JA",Dashboard!$K$26-$AH$11+AH364,Dashboard!$K$26)</f>
        <v>2.3800000000000002E-2</v>
      </c>
      <c r="AJ364" s="27">
        <f>Tabel2[[#This Row],[Schuldrest]]*AI364/12</f>
        <v>10.777716526818176</v>
      </c>
      <c r="AK364" s="20">
        <f>IF($D$2="JA",Dashboard!$K$27-$AH$11+AH364,Dashboard!$K$27)</f>
        <v>2.3800000000000002E-2</v>
      </c>
      <c r="AL364" s="27">
        <f t="shared" si="90"/>
        <v>0</v>
      </c>
      <c r="AM364" s="20">
        <f>IF($D$2="JA",Dashboard!$K$28-$AH$11+AH364,Dashboard!$K$28)</f>
        <v>2.3800000000000002E-2</v>
      </c>
      <c r="AN364" s="27">
        <f t="shared" si="91"/>
        <v>0</v>
      </c>
      <c r="AO364" s="63">
        <f>Tabel2[[#This Row],[Aflossing]]+V364</f>
        <v>771.6992936157352</v>
      </c>
      <c r="AP364" s="63">
        <f t="shared" si="105"/>
        <v>10.777716526818176</v>
      </c>
      <c r="AQ364" s="2">
        <f>K364+W364+AD364</f>
        <v>12.536466402579549</v>
      </c>
      <c r="AU364" s="20"/>
      <c r="AV364" s="20"/>
    </row>
    <row r="365" spans="1:48">
      <c r="A365" s="71">
        <v>354</v>
      </c>
      <c r="B365" s="77">
        <f t="shared" si="93"/>
        <v>4662.4434930152784</v>
      </c>
      <c r="C365" s="73">
        <f>B365/Dashboard!$I$25</f>
        <v>1.8649773972061114E-2</v>
      </c>
      <c r="D365" s="74">
        <f t="shared" si="94"/>
        <v>0</v>
      </c>
      <c r="E365" s="73">
        <f>IF($D$2="JA",Dashboard!$K$26-$D$11+D365,Dashboard!$K$26)</f>
        <v>2.3800000000000002E-2</v>
      </c>
      <c r="F365" s="72">
        <f t="shared" si="95"/>
        <v>9.2471795944803024</v>
      </c>
      <c r="G365" s="72">
        <f t="shared" si="106"/>
        <v>773.2298305480731</v>
      </c>
      <c r="H365" s="72">
        <f>IFERROR(-PMT(E365^1/12,Dashboard!$I$30-A365,B365),0)</f>
        <v>782.47701014255335</v>
      </c>
      <c r="I365" s="75">
        <f t="shared" si="96"/>
        <v>782.47701014255335</v>
      </c>
      <c r="J365" s="76">
        <f t="shared" si="107"/>
        <v>4816.793789159351</v>
      </c>
      <c r="K365" s="76">
        <f>J365*Dashboard!$K$26/12</f>
        <v>10.757506129122552</v>
      </c>
      <c r="L365" s="76">
        <f t="shared" si="97"/>
        <v>798.32833644823256</v>
      </c>
      <c r="M365" s="76">
        <f>IF(H365=0,0,IFERROR(-PMT(Dashboard!$K$26^1/12,Dashboard!$I$30,Dashboard!$I$26),0))</f>
        <v>809.08584257735515</v>
      </c>
      <c r="P365" s="59">
        <v>354</v>
      </c>
      <c r="Q365" s="28">
        <f t="shared" si="98"/>
        <v>0</v>
      </c>
      <c r="R365" s="20">
        <f>Q365/Dashboard!$I$25</f>
        <v>0</v>
      </c>
      <c r="S365" s="20">
        <f t="shared" si="99"/>
        <v>0</v>
      </c>
      <c r="T365" s="20">
        <f>IF($D$2="JA",Dashboard!$K$27-$S$11+S365,Dashboard!$K$27)</f>
        <v>2.6800000000000001E-2</v>
      </c>
      <c r="U365" s="27">
        <f t="shared" si="100"/>
        <v>0</v>
      </c>
      <c r="V365" s="26">
        <f>IF(Q365&lt;=1,0,Dashboard!$I$27/Dashboard!$I$30)</f>
        <v>0</v>
      </c>
      <c r="W365" s="28">
        <f>Q365*Dashboard!$K$27/12</f>
        <v>0</v>
      </c>
      <c r="Y365" s="59">
        <v>354</v>
      </c>
      <c r="Z365" s="67">
        <f>Dashboard!$I$28</f>
        <v>0</v>
      </c>
      <c r="AA365" s="64">
        <f>IF(Z365&lt;=1,0,Dashboard!$I$30-Y365)</f>
        <v>0</v>
      </c>
      <c r="AB365" s="64">
        <f t="shared" si="101"/>
        <v>0</v>
      </c>
      <c r="AC365" s="1">
        <f>Dashboard!$K$28</f>
        <v>2.6800000000000001E-2</v>
      </c>
      <c r="AD365" s="28">
        <f t="shared" si="102"/>
        <v>0</v>
      </c>
      <c r="AF365" s="2">
        <f t="shared" si="103"/>
        <v>4662.4434930152784</v>
      </c>
      <c r="AG365" s="62">
        <f>(B365+Q365+Z365)/Dashboard!$I$25</f>
        <v>1.8649773972061114E-2</v>
      </c>
      <c r="AH365" s="20">
        <f t="shared" si="104"/>
        <v>0</v>
      </c>
      <c r="AI365" s="20">
        <f>IF($D$2="JA",Dashboard!$K$26-$AH$11+AH365,Dashboard!$K$26)</f>
        <v>2.3800000000000002E-2</v>
      </c>
      <c r="AJ365" s="27">
        <f>Tabel2[[#This Row],[Schuldrest]]*AI365/12</f>
        <v>9.2471795944803024</v>
      </c>
      <c r="AK365" s="20">
        <f>IF($D$2="JA",Dashboard!$K$27-$AH$11+AH365,Dashboard!$K$27)</f>
        <v>2.3800000000000002E-2</v>
      </c>
      <c r="AL365" s="27">
        <f t="shared" si="90"/>
        <v>0</v>
      </c>
      <c r="AM365" s="20">
        <f>IF($D$2="JA",Dashboard!$K$28-$AH$11+AH365,Dashboard!$K$28)</f>
        <v>2.3800000000000002E-2</v>
      </c>
      <c r="AN365" s="27">
        <f t="shared" si="91"/>
        <v>0</v>
      </c>
      <c r="AO365" s="63">
        <f>Tabel2[[#This Row],[Aflossing]]+V365</f>
        <v>773.2298305480731</v>
      </c>
      <c r="AP365" s="63">
        <f t="shared" si="105"/>
        <v>9.2471795944803024</v>
      </c>
      <c r="AQ365" s="2">
        <f t="shared" si="92"/>
        <v>10.757506129122552</v>
      </c>
      <c r="AU365" s="20"/>
      <c r="AV365" s="20"/>
    </row>
    <row r="366" spans="1:48">
      <c r="A366" s="71">
        <v>355</v>
      </c>
      <c r="B366" s="77">
        <f t="shared" si="93"/>
        <v>3889.2136624672053</v>
      </c>
      <c r="C366" s="73">
        <f>B366/Dashboard!$I$25</f>
        <v>1.555685464986882E-2</v>
      </c>
      <c r="D366" s="74">
        <f t="shared" si="94"/>
        <v>0</v>
      </c>
      <c r="E366" s="73">
        <f>IF($D$2="JA",Dashboard!$K$26-$D$11+D366,Dashboard!$K$26)</f>
        <v>2.3800000000000002E-2</v>
      </c>
      <c r="F366" s="72">
        <f t="shared" si="95"/>
        <v>7.7136070972266246</v>
      </c>
      <c r="G366" s="72">
        <f t="shared" si="106"/>
        <v>774.76340304532664</v>
      </c>
      <c r="H366" s="72">
        <f>IFERROR(-PMT(E366^1/12,Dashboard!$I$30-A366,B366),0)</f>
        <v>782.47701014255324</v>
      </c>
      <c r="I366" s="75">
        <f t="shared" si="96"/>
        <v>782.47701014255324</v>
      </c>
      <c r="J366" s="76">
        <f t="shared" si="107"/>
        <v>4018.4654527111184</v>
      </c>
      <c r="K366" s="76">
        <f>J366*Dashboard!$K$26/12</f>
        <v>8.9745728443881649</v>
      </c>
      <c r="L366" s="76">
        <f t="shared" si="97"/>
        <v>800.111269732967</v>
      </c>
      <c r="M366" s="76">
        <f>IF(H366=0,0,IFERROR(-PMT(Dashboard!$K$26^1/12,Dashboard!$I$30,Dashboard!$I$26),0))</f>
        <v>809.08584257735515</v>
      </c>
      <c r="P366" s="59">
        <v>355</v>
      </c>
      <c r="Q366" s="28">
        <f t="shared" si="98"/>
        <v>0</v>
      </c>
      <c r="R366" s="20">
        <f>Q366/Dashboard!$I$25</f>
        <v>0</v>
      </c>
      <c r="S366" s="20">
        <f t="shared" si="99"/>
        <v>0</v>
      </c>
      <c r="T366" s="20">
        <f>IF($D$2="JA",Dashboard!$K$27-$S$11+S366,Dashboard!$K$27)</f>
        <v>2.6800000000000001E-2</v>
      </c>
      <c r="U366" s="27">
        <f t="shared" si="100"/>
        <v>0</v>
      </c>
      <c r="V366" s="26">
        <f>IF(Q366&lt;=1,0,Dashboard!$I$27/Dashboard!$I$30)</f>
        <v>0</v>
      </c>
      <c r="W366" s="28">
        <f>Q366*Dashboard!$K$27/12</f>
        <v>0</v>
      </c>
      <c r="Y366" s="59">
        <v>355</v>
      </c>
      <c r="Z366" s="67">
        <f>Dashboard!$I$28</f>
        <v>0</v>
      </c>
      <c r="AA366" s="64">
        <f>IF(Z366&lt;=1,0,Dashboard!$I$30-Y366)</f>
        <v>0</v>
      </c>
      <c r="AB366" s="64">
        <f t="shared" si="101"/>
        <v>0</v>
      </c>
      <c r="AC366" s="1">
        <f>Dashboard!$K$28</f>
        <v>2.6800000000000001E-2</v>
      </c>
      <c r="AD366" s="28">
        <f t="shared" si="102"/>
        <v>0</v>
      </c>
      <c r="AF366" s="2">
        <f t="shared" si="103"/>
        <v>3889.2136624672053</v>
      </c>
      <c r="AG366" s="62">
        <f>(B366+Q366+Z366)/Dashboard!$I$25</f>
        <v>1.555685464986882E-2</v>
      </c>
      <c r="AH366" s="20">
        <f t="shared" si="104"/>
        <v>0</v>
      </c>
      <c r="AI366" s="20">
        <f>IF($D$2="JA",Dashboard!$K$26-$AH$11+AH366,Dashboard!$K$26)</f>
        <v>2.3800000000000002E-2</v>
      </c>
      <c r="AJ366" s="27">
        <f>Tabel2[[#This Row],[Schuldrest]]*AI366/12</f>
        <v>7.7136070972266246</v>
      </c>
      <c r="AK366" s="20">
        <f>IF($D$2="JA",Dashboard!$K$27-$AH$11+AH366,Dashboard!$K$27)</f>
        <v>2.3800000000000002E-2</v>
      </c>
      <c r="AL366" s="27">
        <f t="shared" si="90"/>
        <v>0</v>
      </c>
      <c r="AM366" s="20">
        <f>IF($D$2="JA",Dashboard!$K$28-$AH$11+AH366,Dashboard!$K$28)</f>
        <v>2.3800000000000002E-2</v>
      </c>
      <c r="AN366" s="27">
        <f t="shared" si="91"/>
        <v>0</v>
      </c>
      <c r="AO366" s="63">
        <f>Tabel2[[#This Row],[Aflossing]]+V366</f>
        <v>774.76340304532664</v>
      </c>
      <c r="AP366" s="63">
        <f t="shared" si="105"/>
        <v>7.7136070972266246</v>
      </c>
      <c r="AQ366" s="2">
        <f t="shared" si="92"/>
        <v>8.9745728443881649</v>
      </c>
      <c r="AU366" s="20"/>
      <c r="AV366" s="20"/>
    </row>
    <row r="367" spans="1:48">
      <c r="A367" s="71">
        <v>356</v>
      </c>
      <c r="B367" s="77">
        <f t="shared" si="93"/>
        <v>3114.4502594218784</v>
      </c>
      <c r="C367" s="73">
        <f>B367/Dashboard!$I$25</f>
        <v>1.2457801037687514E-2</v>
      </c>
      <c r="D367" s="74">
        <f t="shared" si="94"/>
        <v>0</v>
      </c>
      <c r="E367" s="73">
        <f>IF($D$2="JA",Dashboard!$K$26-$D$11+D367,Dashboard!$K$26)</f>
        <v>2.3800000000000002E-2</v>
      </c>
      <c r="F367" s="72">
        <f t="shared" si="95"/>
        <v>6.1769930145200584</v>
      </c>
      <c r="G367" s="72">
        <f t="shared" si="106"/>
        <v>776.30001712803335</v>
      </c>
      <c r="H367" s="72">
        <f>IFERROR(-PMT(E367^1/12,Dashboard!$I$30-A367,B367),0)</f>
        <v>782.47701014255335</v>
      </c>
      <c r="I367" s="75">
        <f t="shared" si="96"/>
        <v>782.47701014255335</v>
      </c>
      <c r="J367" s="76">
        <f t="shared" si="107"/>
        <v>3218.3541829781516</v>
      </c>
      <c r="K367" s="76">
        <f>J367*Dashboard!$K$26/12</f>
        <v>7.1876576753178725</v>
      </c>
      <c r="L367" s="76">
        <f t="shared" si="97"/>
        <v>801.89818490203731</v>
      </c>
      <c r="M367" s="76">
        <f>IF(H367=0,0,IFERROR(-PMT(Dashboard!$K$26^1/12,Dashboard!$I$30,Dashboard!$I$26),0))</f>
        <v>809.08584257735515</v>
      </c>
      <c r="P367" s="59">
        <v>356</v>
      </c>
      <c r="Q367" s="28">
        <f t="shared" si="98"/>
        <v>0</v>
      </c>
      <c r="R367" s="20">
        <f>Q367/Dashboard!$I$25</f>
        <v>0</v>
      </c>
      <c r="S367" s="20">
        <f t="shared" si="99"/>
        <v>0</v>
      </c>
      <c r="T367" s="20">
        <f>IF($D$2="JA",Dashboard!$K$27-$S$11+S367,Dashboard!$K$27)</f>
        <v>2.6800000000000001E-2</v>
      </c>
      <c r="U367" s="27">
        <f t="shared" si="100"/>
        <v>0</v>
      </c>
      <c r="V367" s="26">
        <f>IF(Q367&lt;=1,0,Dashboard!$I$27/Dashboard!$I$30)</f>
        <v>0</v>
      </c>
      <c r="W367" s="28">
        <f>Q367*Dashboard!$K$27/12</f>
        <v>0</v>
      </c>
      <c r="Y367" s="59">
        <v>356</v>
      </c>
      <c r="Z367" s="67">
        <f>Dashboard!$I$28</f>
        <v>0</v>
      </c>
      <c r="AA367" s="64">
        <f>IF(Z367&lt;=1,0,Dashboard!$I$30-Y367)</f>
        <v>0</v>
      </c>
      <c r="AB367" s="64">
        <f t="shared" si="101"/>
        <v>0</v>
      </c>
      <c r="AC367" s="1">
        <f>Dashboard!$K$28</f>
        <v>2.6800000000000001E-2</v>
      </c>
      <c r="AD367" s="28">
        <f t="shared" si="102"/>
        <v>0</v>
      </c>
      <c r="AF367" s="2">
        <f t="shared" si="103"/>
        <v>3114.4502594218784</v>
      </c>
      <c r="AG367" s="62">
        <f>(B367+Q367+Z367)/Dashboard!$I$25</f>
        <v>1.2457801037687514E-2</v>
      </c>
      <c r="AH367" s="20">
        <f t="shared" si="104"/>
        <v>0</v>
      </c>
      <c r="AI367" s="20">
        <f>IF($D$2="JA",Dashboard!$K$26-$AH$11+AH367,Dashboard!$K$26)</f>
        <v>2.3800000000000002E-2</v>
      </c>
      <c r="AJ367" s="27">
        <f>Tabel2[[#This Row],[Schuldrest]]*AI367/12</f>
        <v>6.1769930145200584</v>
      </c>
      <c r="AK367" s="20">
        <f>IF($D$2="JA",Dashboard!$K$27-$AH$11+AH367,Dashboard!$K$27)</f>
        <v>2.3800000000000002E-2</v>
      </c>
      <c r="AL367" s="27">
        <f t="shared" si="90"/>
        <v>0</v>
      </c>
      <c r="AM367" s="20">
        <f>IF($D$2="JA",Dashboard!$K$28-$AH$11+AH367,Dashboard!$K$28)</f>
        <v>2.3800000000000002E-2</v>
      </c>
      <c r="AN367" s="27">
        <f t="shared" si="91"/>
        <v>0</v>
      </c>
      <c r="AO367" s="63">
        <f>Tabel2[[#This Row],[Aflossing]]+V367</f>
        <v>776.30001712803335</v>
      </c>
      <c r="AP367" s="63">
        <f t="shared" si="105"/>
        <v>6.1769930145200584</v>
      </c>
      <c r="AQ367" s="2">
        <f t="shared" si="92"/>
        <v>7.1876576753178725</v>
      </c>
      <c r="AU367" s="20"/>
      <c r="AV367" s="20"/>
    </row>
    <row r="368" spans="1:48">
      <c r="A368" s="71">
        <v>357</v>
      </c>
      <c r="B368" s="77">
        <f t="shared" si="93"/>
        <v>2338.1502422938452</v>
      </c>
      <c r="C368" s="73">
        <f>B368/Dashboard!$I$25</f>
        <v>9.3526009691753814E-3</v>
      </c>
      <c r="D368" s="74">
        <f t="shared" si="94"/>
        <v>0</v>
      </c>
      <c r="E368" s="73">
        <f>IF($D$2="JA",Dashboard!$K$26-$D$11+D368,Dashboard!$K$26)</f>
        <v>2.3800000000000002E-2</v>
      </c>
      <c r="F368" s="72">
        <f t="shared" si="95"/>
        <v>4.6373313138827932</v>
      </c>
      <c r="G368" s="72">
        <f t="shared" si="106"/>
        <v>777.83967882867046</v>
      </c>
      <c r="H368" s="72">
        <f>IFERROR(-PMT(E368^1/12,Dashboard!$I$30-A368,B368),0)</f>
        <v>782.47701014255324</v>
      </c>
      <c r="I368" s="75">
        <f t="shared" si="96"/>
        <v>782.47701014255324</v>
      </c>
      <c r="J368" s="76">
        <f t="shared" si="107"/>
        <v>2416.4559980761142</v>
      </c>
      <c r="K368" s="76">
        <f>J368*Dashboard!$K$26/12</f>
        <v>5.3967517290366551</v>
      </c>
      <c r="L368" s="76">
        <f t="shared" si="97"/>
        <v>803.68909084831853</v>
      </c>
      <c r="M368" s="76">
        <f>IF(H368=0,0,IFERROR(-PMT(Dashboard!$K$26^1/12,Dashboard!$I$30,Dashboard!$I$26),0))</f>
        <v>809.08584257735515</v>
      </c>
      <c r="P368" s="59">
        <v>357</v>
      </c>
      <c r="Q368" s="28">
        <f t="shared" si="98"/>
        <v>0</v>
      </c>
      <c r="R368" s="20">
        <f>Q368/Dashboard!$I$25</f>
        <v>0</v>
      </c>
      <c r="S368" s="20">
        <f t="shared" si="99"/>
        <v>0</v>
      </c>
      <c r="T368" s="20">
        <f>IF($D$2="JA",Dashboard!$K$27-$S$11+S368,Dashboard!$K$27)</f>
        <v>2.6800000000000001E-2</v>
      </c>
      <c r="U368" s="27">
        <f t="shared" si="100"/>
        <v>0</v>
      </c>
      <c r="V368" s="26">
        <f>IF(Q368&lt;=1,0,Dashboard!$I$27/Dashboard!$I$30)</f>
        <v>0</v>
      </c>
      <c r="W368" s="28">
        <f>Q368*Dashboard!$K$27/12</f>
        <v>0</v>
      </c>
      <c r="Y368" s="59">
        <v>357</v>
      </c>
      <c r="Z368" s="67">
        <f>Dashboard!$I$28</f>
        <v>0</v>
      </c>
      <c r="AA368" s="64">
        <f>IF(Z368&lt;=1,0,Dashboard!$I$30-Y368)</f>
        <v>0</v>
      </c>
      <c r="AB368" s="64">
        <f t="shared" si="101"/>
        <v>0</v>
      </c>
      <c r="AC368" s="1">
        <f>Dashboard!$K$28</f>
        <v>2.6800000000000001E-2</v>
      </c>
      <c r="AD368" s="28">
        <f t="shared" si="102"/>
        <v>0</v>
      </c>
      <c r="AF368" s="2">
        <f t="shared" si="103"/>
        <v>2338.1502422938452</v>
      </c>
      <c r="AG368" s="62">
        <f>(B368+Q368+Z368)/Dashboard!$I$25</f>
        <v>9.3526009691753814E-3</v>
      </c>
      <c r="AH368" s="20">
        <f t="shared" si="104"/>
        <v>0</v>
      </c>
      <c r="AI368" s="20">
        <f>IF($D$2="JA",Dashboard!$K$26-$AH$11+AH368,Dashboard!$K$26)</f>
        <v>2.3800000000000002E-2</v>
      </c>
      <c r="AJ368" s="27">
        <f>Tabel2[[#This Row],[Schuldrest]]*AI368/12</f>
        <v>4.6373313138827932</v>
      </c>
      <c r="AK368" s="20">
        <f>IF($D$2="JA",Dashboard!$K$27-$AH$11+AH368,Dashboard!$K$27)</f>
        <v>2.3800000000000002E-2</v>
      </c>
      <c r="AL368" s="27">
        <f t="shared" si="90"/>
        <v>0</v>
      </c>
      <c r="AM368" s="20">
        <f>IF($D$2="JA",Dashboard!$K$28-$AH$11+AH368,Dashboard!$K$28)</f>
        <v>2.3800000000000002E-2</v>
      </c>
      <c r="AN368" s="27">
        <f t="shared" si="91"/>
        <v>0</v>
      </c>
      <c r="AO368" s="63">
        <f>Tabel2[[#This Row],[Aflossing]]+V368</f>
        <v>777.83967882867046</v>
      </c>
      <c r="AP368" s="63">
        <f t="shared" si="105"/>
        <v>4.6373313138827932</v>
      </c>
      <c r="AQ368" s="2">
        <f t="shared" si="92"/>
        <v>5.3967517290366551</v>
      </c>
      <c r="AU368" s="20"/>
      <c r="AV368" s="20"/>
    </row>
    <row r="369" spans="1:48">
      <c r="A369" s="71">
        <v>358</v>
      </c>
      <c r="B369" s="77">
        <f t="shared" si="93"/>
        <v>1560.3105634651747</v>
      </c>
      <c r="C369" s="73">
        <f>B369/Dashboard!$I$25</f>
        <v>6.2412422538606991E-3</v>
      </c>
      <c r="D369" s="74">
        <f t="shared" si="94"/>
        <v>0</v>
      </c>
      <c r="E369" s="73">
        <f>IF($D$2="JA",Dashboard!$K$26-$D$11+D369,Dashboard!$K$26)</f>
        <v>2.3800000000000002E-2</v>
      </c>
      <c r="F369" s="72">
        <f t="shared" si="95"/>
        <v>3.0946159508725963</v>
      </c>
      <c r="G369" s="72">
        <f t="shared" si="106"/>
        <v>779.38239419168065</v>
      </c>
      <c r="H369" s="72">
        <f>IFERROR(-PMT(E369^1/12,Dashboard!$I$30-A369,B369),0)</f>
        <v>782.47701014255324</v>
      </c>
      <c r="I369" s="75">
        <f t="shared" si="96"/>
        <v>782.47701014255324</v>
      </c>
      <c r="J369" s="76">
        <f t="shared" si="107"/>
        <v>1612.7669072277956</v>
      </c>
      <c r="K369" s="76">
        <f>J369*Dashboard!$K$26/12</f>
        <v>3.6018460928087439</v>
      </c>
      <c r="L369" s="76">
        <f t="shared" si="97"/>
        <v>805.48399648454642</v>
      </c>
      <c r="M369" s="76">
        <f>IF(H369=0,0,IFERROR(-PMT(Dashboard!$K$26^1/12,Dashboard!$I$30,Dashboard!$I$26),0))</f>
        <v>809.08584257735515</v>
      </c>
      <c r="P369" s="59">
        <v>358</v>
      </c>
      <c r="Q369" s="28">
        <f t="shared" si="98"/>
        <v>0</v>
      </c>
      <c r="R369" s="20">
        <f>Q369/Dashboard!$I$25</f>
        <v>0</v>
      </c>
      <c r="S369" s="20">
        <f t="shared" si="99"/>
        <v>0</v>
      </c>
      <c r="T369" s="20">
        <f>IF($D$2="JA",Dashboard!$K$27-$S$11+S369,Dashboard!$K$27)</f>
        <v>2.6800000000000001E-2</v>
      </c>
      <c r="U369" s="27">
        <f t="shared" si="100"/>
        <v>0</v>
      </c>
      <c r="V369" s="26">
        <f>IF(Q369&lt;=1,0,Dashboard!$I$27/Dashboard!$I$30)</f>
        <v>0</v>
      </c>
      <c r="W369" s="28">
        <f>Q369*Dashboard!$K$27/12</f>
        <v>0</v>
      </c>
      <c r="Y369" s="59">
        <v>358</v>
      </c>
      <c r="Z369" s="67">
        <f>Dashboard!$I$28</f>
        <v>0</v>
      </c>
      <c r="AA369" s="64">
        <f>IF(Z369&lt;=1,0,Dashboard!$I$30-Y369)</f>
        <v>0</v>
      </c>
      <c r="AB369" s="64">
        <f t="shared" si="101"/>
        <v>0</v>
      </c>
      <c r="AC369" s="1">
        <f>Dashboard!$K$28</f>
        <v>2.6800000000000001E-2</v>
      </c>
      <c r="AD369" s="28">
        <f t="shared" si="102"/>
        <v>0</v>
      </c>
      <c r="AF369" s="2">
        <f t="shared" si="103"/>
        <v>1560.3105634651747</v>
      </c>
      <c r="AG369" s="62">
        <f>(B369+Q369+Z369)/Dashboard!$I$25</f>
        <v>6.2412422538606991E-3</v>
      </c>
      <c r="AH369" s="20">
        <f t="shared" si="104"/>
        <v>0</v>
      </c>
      <c r="AI369" s="20">
        <f>IF($D$2="JA",Dashboard!$K$26-$AH$11+AH369,Dashboard!$K$26)</f>
        <v>2.3800000000000002E-2</v>
      </c>
      <c r="AJ369" s="27">
        <f>Tabel2[[#This Row],[Schuldrest]]*AI369/12</f>
        <v>3.0946159508725963</v>
      </c>
      <c r="AK369" s="20">
        <f>IF($D$2="JA",Dashboard!$K$27-$AH$11+AH369,Dashboard!$K$27)</f>
        <v>2.3800000000000002E-2</v>
      </c>
      <c r="AL369" s="27">
        <f t="shared" si="90"/>
        <v>0</v>
      </c>
      <c r="AM369" s="20">
        <f>IF($D$2="JA",Dashboard!$K$28-$AH$11+AH369,Dashboard!$K$28)</f>
        <v>2.3800000000000002E-2</v>
      </c>
      <c r="AN369" s="27">
        <f t="shared" si="91"/>
        <v>0</v>
      </c>
      <c r="AO369" s="63">
        <f>Tabel2[[#This Row],[Aflossing]]+V369</f>
        <v>779.38239419168065</v>
      </c>
      <c r="AP369" s="63">
        <f t="shared" si="105"/>
        <v>3.0946159508725963</v>
      </c>
      <c r="AQ369" s="2">
        <f t="shared" si="92"/>
        <v>3.6018460928087439</v>
      </c>
      <c r="AU369" s="20"/>
      <c r="AV369" s="20"/>
    </row>
    <row r="370" spans="1:48">
      <c r="A370" s="71">
        <v>359</v>
      </c>
      <c r="B370" s="77">
        <f>B369-G369</f>
        <v>780.92816927349406</v>
      </c>
      <c r="C370" s="73">
        <f>B370/Dashboard!$I$25</f>
        <v>3.1237126770939762E-3</v>
      </c>
      <c r="D370" s="74">
        <f t="shared" si="94"/>
        <v>0</v>
      </c>
      <c r="E370" s="73">
        <f>IF($D$2="JA",Dashboard!$K$26-$D$11+D370,Dashboard!$K$26)</f>
        <v>2.3800000000000002E-2</v>
      </c>
      <c r="F370" s="72">
        <f t="shared" si="95"/>
        <v>1.5488408690590967</v>
      </c>
      <c r="G370" s="72">
        <f>H370-F370</f>
        <v>780.92816927349395</v>
      </c>
      <c r="H370" s="72">
        <f>IFERROR(-PMT(E370^1/12,Dashboard!$I$30-A370,B370),0)</f>
        <v>782.47701014255301</v>
      </c>
      <c r="I370" s="75">
        <f t="shared" si="96"/>
        <v>782.47701014255301</v>
      </c>
      <c r="J370" s="76">
        <f t="shared" si="107"/>
        <v>807.2829107432492</v>
      </c>
      <c r="K370" s="76">
        <f>J370*Dashboard!$K$26/12</f>
        <v>1.8029318339932567</v>
      </c>
      <c r="L370" s="76">
        <f t="shared" si="97"/>
        <v>807.28291074336187</v>
      </c>
      <c r="M370" s="76">
        <f>IF(H370=0,0,IFERROR(-PMT(Dashboard!$K$26^1/12,Dashboard!$I$30,Dashboard!$I$26),0))</f>
        <v>809.08584257735515</v>
      </c>
      <c r="P370" s="59">
        <v>359</v>
      </c>
      <c r="Q370" s="28">
        <f t="shared" si="98"/>
        <v>0</v>
      </c>
      <c r="R370" s="20">
        <f>Q370/Dashboard!$I$25</f>
        <v>0</v>
      </c>
      <c r="S370" s="20">
        <f t="shared" si="99"/>
        <v>0</v>
      </c>
      <c r="T370" s="20">
        <f>IF($D$2="JA",Dashboard!$K$27-$S$11+S370,Dashboard!$K$27)</f>
        <v>2.6800000000000001E-2</v>
      </c>
      <c r="U370" s="27">
        <f t="shared" si="100"/>
        <v>0</v>
      </c>
      <c r="V370" s="26">
        <f>IF(Q370&lt;=1,0,Dashboard!$I$27/Dashboard!$I$30)</f>
        <v>0</v>
      </c>
      <c r="W370" s="28">
        <f>Q370*Dashboard!$K$27/12</f>
        <v>0</v>
      </c>
      <c r="Y370" s="59">
        <v>359</v>
      </c>
      <c r="Z370" s="67">
        <f>Dashboard!$I$28</f>
        <v>0</v>
      </c>
      <c r="AA370" s="64">
        <f>IF(Z370&lt;=1,0,Dashboard!$I$30-Y370)</f>
        <v>0</v>
      </c>
      <c r="AB370" s="64">
        <f t="shared" si="101"/>
        <v>0</v>
      </c>
      <c r="AC370" s="1">
        <f>Dashboard!$K$28</f>
        <v>2.6800000000000001E-2</v>
      </c>
      <c r="AD370" s="28">
        <f t="shared" si="102"/>
        <v>0</v>
      </c>
      <c r="AF370" s="2">
        <f t="shared" si="103"/>
        <v>780.92816927349406</v>
      </c>
      <c r="AG370" s="62">
        <f>(B370+Q370+Z370)/Dashboard!$I$25</f>
        <v>3.1237126770939762E-3</v>
      </c>
      <c r="AH370" s="20">
        <f t="shared" si="104"/>
        <v>0</v>
      </c>
      <c r="AI370" s="20">
        <f>IF($D$2="JA",Dashboard!$K$26-$AH$11+AH370,Dashboard!$K$26)</f>
        <v>2.3800000000000002E-2</v>
      </c>
      <c r="AJ370" s="27">
        <f>Tabel2[[#This Row],[Schuldrest]]*AI370/12</f>
        <v>1.5488408690590967</v>
      </c>
      <c r="AK370" s="20">
        <f>IF($D$2="JA",Dashboard!$K$27-$AH$11+AH370,Dashboard!$K$27)</f>
        <v>2.3800000000000002E-2</v>
      </c>
      <c r="AL370" s="27">
        <f t="shared" si="90"/>
        <v>0</v>
      </c>
      <c r="AM370" s="20">
        <f>IF($D$2="JA",Dashboard!$K$28-$AH$11+AH370,Dashboard!$K$28)</f>
        <v>2.3800000000000002E-2</v>
      </c>
      <c r="AN370" s="27">
        <f t="shared" si="91"/>
        <v>0</v>
      </c>
      <c r="AO370" s="63">
        <f>Tabel2[[#This Row],[Aflossing]]+V370</f>
        <v>780.92816927349395</v>
      </c>
      <c r="AP370" s="63">
        <f t="shared" si="105"/>
        <v>1.5488408690590967</v>
      </c>
      <c r="AQ370" s="2">
        <f t="shared" si="92"/>
        <v>1.8029318339932567</v>
      </c>
      <c r="AU370" s="20"/>
      <c r="AV370" s="20"/>
    </row>
    <row r="371" spans="1:48">
      <c r="A371" s="71">
        <v>360</v>
      </c>
      <c r="B371" s="77">
        <f t="shared" si="93"/>
        <v>0</v>
      </c>
      <c r="C371" s="73">
        <f>B371/Dashboard!$I$25</f>
        <v>0</v>
      </c>
      <c r="D371" s="74">
        <f t="shared" si="94"/>
        <v>0</v>
      </c>
      <c r="E371" s="73">
        <f>IF($D$2="JA",Dashboard!$K$26-$D$11+D371,Dashboard!$K$26)</f>
        <v>2.3800000000000002E-2</v>
      </c>
      <c r="F371" s="72">
        <f t="shared" si="95"/>
        <v>0</v>
      </c>
      <c r="G371" s="72">
        <v>0</v>
      </c>
      <c r="H371" s="72">
        <f>IFERROR(-PMT(E371^1/12,Dashboard!$I$30-A371,B371),0)</f>
        <v>0</v>
      </c>
      <c r="I371" s="72">
        <f>IFERROR(-PMT(F371^1/12,#REF!-B371,C371),0)</f>
        <v>0</v>
      </c>
      <c r="J371" s="76">
        <f>MAX(J370-L370,0)</f>
        <v>0</v>
      </c>
      <c r="K371" s="76">
        <f>J371*Dashboard!$K$26/12</f>
        <v>0</v>
      </c>
      <c r="L371" s="76">
        <f t="shared" si="97"/>
        <v>0</v>
      </c>
      <c r="M371" s="76">
        <f>IF(H371=0,0,IFERROR(-PMT(Dashboard!$K$26^1/12,Dashboard!$I$30,Dashboard!$I$26),0))</f>
        <v>0</v>
      </c>
      <c r="P371" s="59">
        <v>360</v>
      </c>
      <c r="Q371" s="28">
        <f t="shared" si="98"/>
        <v>0</v>
      </c>
      <c r="R371" s="20">
        <f>Q371/Dashboard!$I$25</f>
        <v>0</v>
      </c>
      <c r="S371" s="20">
        <f t="shared" si="99"/>
        <v>0</v>
      </c>
      <c r="T371" s="20">
        <f>IF($D$2="JA",Dashboard!$K$27-$S$11+S371,Dashboard!$K$27)</f>
        <v>2.6800000000000001E-2</v>
      </c>
      <c r="U371" s="27">
        <f t="shared" si="100"/>
        <v>0</v>
      </c>
      <c r="V371" s="26">
        <f>IF(Q371&lt;=1,0,Dashboard!$I$27/Dashboard!$I$30)</f>
        <v>0</v>
      </c>
      <c r="W371" s="28">
        <f>Q371*Dashboard!$K$27/12</f>
        <v>0</v>
      </c>
      <c r="Y371" s="59">
        <v>360</v>
      </c>
      <c r="Z371" s="67">
        <f>Dashboard!$I$28</f>
        <v>0</v>
      </c>
      <c r="AA371" s="64">
        <f>IF(Z371&lt;=1,0,Dashboard!$I$30-Y371)</f>
        <v>0</v>
      </c>
      <c r="AB371" s="64">
        <f t="shared" si="101"/>
        <v>0</v>
      </c>
      <c r="AC371" s="1">
        <f>Dashboard!$K$28</f>
        <v>2.6800000000000001E-2</v>
      </c>
      <c r="AD371" s="28">
        <f t="shared" si="102"/>
        <v>0</v>
      </c>
      <c r="AF371" s="2">
        <f t="shared" si="103"/>
        <v>0</v>
      </c>
      <c r="AG371" s="62">
        <f>(B371+Q371+Z371)/Dashboard!$I$25</f>
        <v>0</v>
      </c>
      <c r="AH371" s="20">
        <f t="shared" si="104"/>
        <v>0</v>
      </c>
      <c r="AI371" s="20">
        <f>IF($D$2="JA",Dashboard!$K$26-$AH$11+AH371,Dashboard!$K$26)</f>
        <v>2.3800000000000002E-2</v>
      </c>
      <c r="AJ371" s="27">
        <f>Tabel2[[#This Row],[Schuldrest]]*AI371/12</f>
        <v>0</v>
      </c>
      <c r="AK371" s="20">
        <f>IF($D$2="JA",Dashboard!$K$27-$AH$11+AH371,Dashboard!$K$27)</f>
        <v>2.3800000000000002E-2</v>
      </c>
      <c r="AL371" s="27">
        <f t="shared" si="90"/>
        <v>0</v>
      </c>
      <c r="AM371" s="20">
        <f>IF($D$2="JA",Dashboard!$K$28-$AH$11+AH371,Dashboard!$K$28)</f>
        <v>2.3800000000000002E-2</v>
      </c>
      <c r="AN371" s="27">
        <f t="shared" si="91"/>
        <v>0</v>
      </c>
      <c r="AO371" s="63">
        <f>Tabel2[[#This Row],[Aflossing]]+V371</f>
        <v>0</v>
      </c>
      <c r="AP371" s="63">
        <f t="shared" si="105"/>
        <v>0</v>
      </c>
      <c r="AQ371" s="2">
        <f t="shared" si="92"/>
        <v>0</v>
      </c>
      <c r="AS371" t="s">
        <v>56</v>
      </c>
      <c r="AT371" t="s">
        <v>57</v>
      </c>
      <c r="AU371" s="20" t="s">
        <v>58</v>
      </c>
      <c r="AV371" s="20"/>
    </row>
    <row r="372" spans="1:48" ht="15.75" thickBot="1">
      <c r="A372" s="17"/>
      <c r="B372" s="17"/>
      <c r="C372" s="17"/>
      <c r="D372" s="17"/>
      <c r="E372" s="17"/>
      <c r="F372" s="16">
        <f>SUM(F11:F371)</f>
        <v>83007.449366684683</v>
      </c>
      <c r="G372" s="16">
        <f t="shared" ref="G372" si="108">SUM(G11:G371)</f>
        <v>200000.00000000017</v>
      </c>
      <c r="H372" s="16">
        <f>SUM(H11:H371)</f>
        <v>283007.44936668547</v>
      </c>
      <c r="I372" s="17"/>
      <c r="J372" s="18"/>
      <c r="K372" s="19">
        <f>SUM(K11:K371)</f>
        <v>91270.903327847773</v>
      </c>
      <c r="L372" s="19">
        <f t="shared" ref="L372:M372" si="109">SUM(L11:L371)</f>
        <v>199999.99999999997</v>
      </c>
      <c r="M372" s="19">
        <f t="shared" si="109"/>
        <v>291270.90332784876</v>
      </c>
      <c r="O372" s="2">
        <f>K372-Tabel2[[#This Row],[Rentelast MUNT HYPOTHEKEN]]</f>
        <v>8263.4539611630898</v>
      </c>
      <c r="P372" s="20">
        <f>O372/K372</f>
        <v>9.0537659427786313E-2</v>
      </c>
      <c r="U372" s="28">
        <f>SUM(U11:U371)</f>
        <v>0</v>
      </c>
      <c r="V372" s="26">
        <f>SUM(V11:V371)</f>
        <v>0</v>
      </c>
      <c r="W372" s="28">
        <f>SUM(W11:W371)</f>
        <v>0</v>
      </c>
      <c r="Z372" s="68"/>
      <c r="AA372" s="28"/>
      <c r="AB372" s="28"/>
      <c r="AC372" s="20"/>
      <c r="AD372" s="28">
        <f>SUM(AD11:AD371)</f>
        <v>0</v>
      </c>
      <c r="AF372" s="2">
        <f>SUM(AF11:AF371)</f>
        <v>40518698.782142989</v>
      </c>
      <c r="AI372" s="1"/>
      <c r="AJ372" s="28">
        <f>SUM(AJ11:AJ371)</f>
        <v>83007.449366684683</v>
      </c>
      <c r="AK372" s="1">
        <f>AVERAGE(AK11:AK371)</f>
        <v>2.429861495844856E-2</v>
      </c>
      <c r="AL372" s="28">
        <f>SUM(AL11:AL371)</f>
        <v>0</v>
      </c>
      <c r="AM372" s="1"/>
      <c r="AN372" s="28">
        <f>SUM(AN11:AN371)</f>
        <v>0</v>
      </c>
      <c r="AO372" s="26">
        <f>SUM(AO11:AO371)</f>
        <v>200000.00000000017</v>
      </c>
      <c r="AP372" s="26">
        <f>SUM(AP11:AP371)</f>
        <v>83007.449366684683</v>
      </c>
      <c r="AQ372" s="2">
        <f>SUM(AQ11:AQ371)</f>
        <v>91270.903327847773</v>
      </c>
      <c r="AS372" s="2">
        <f>AQ372-AP372</f>
        <v>8263.4539611630898</v>
      </c>
      <c r="AT372" s="20">
        <f>AS372/AQ372</f>
        <v>9.0537659427786313E-2</v>
      </c>
      <c r="AU372" s="20">
        <f>AP372/AF372*12</f>
        <v>2.4583449674825272E-2</v>
      </c>
    </row>
    <row r="373" spans="1:48">
      <c r="AO373" s="2"/>
      <c r="AP373" s="2"/>
    </row>
    <row r="374" spans="1:48">
      <c r="AO374" s="20"/>
    </row>
    <row r="375" spans="1:48">
      <c r="AP375" s="20"/>
    </row>
    <row r="376" spans="1:48">
      <c r="AP376" s="26"/>
    </row>
    <row r="377" spans="1:48">
      <c r="AP377" s="26"/>
    </row>
  </sheetData>
  <pageMargins left="0.7" right="0.7" top="0.75" bottom="0.75" header="0.3" footer="0.3"/>
  <pageSetup paperSize="9" orientation="portrait" r:id="rId1"/>
  <ignoredErrors>
    <ignoredError sqref="AK372" formula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541A5E5B546C428686F7DC19CE856E" ma:contentTypeVersion="3" ma:contentTypeDescription="Een nieuw document maken." ma:contentTypeScope="" ma:versionID="ef22943be734e4169219617150863be5">
  <xsd:schema xmlns:xsd="http://www.w3.org/2001/XMLSchema" xmlns:xs="http://www.w3.org/2001/XMLSchema" xmlns:p="http://schemas.microsoft.com/office/2006/metadata/properties" xmlns:ns2="65c660cb-d9e4-4cae-9474-4065c7517900" targetNamespace="http://schemas.microsoft.com/office/2006/metadata/properties" ma:root="true" ma:fieldsID="f93c807de018f0db848f173510b7f389" ns2:_="">
    <xsd:import namespace="65c660cb-d9e4-4cae-9474-4065c75179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c660cb-d9e4-4cae-9474-4065c751790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int-hash delen" ma:internalName="SharingHintHash" ma:readOnly="true">
      <xsd:simpleType>
        <xsd:restriction base="dms:Text"/>
      </xsd:simpleType>
    </xsd:element>
    <xsd:element name="SharedWithDetails" ma:index="1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27F37B-1540-4DF7-810A-D10F5C8636E2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65c660cb-d9e4-4cae-9474-4065c7517900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BE4C8FE-D198-4CFB-A4EB-4F8D789241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c660cb-d9e4-4cae-9474-4065c75179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5B744A-6D95-4651-8CC1-0F738B81F8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Dashboard</vt:lpstr>
      <vt:lpstr>Betalingstabel</vt:lpstr>
      <vt:lpstr>Dashboard!Afdrukbereik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Menno Luiten</dc:creator>
  <cp:lastModifiedBy>Marianne Edeling</cp:lastModifiedBy>
  <cp:lastPrinted>2016-05-10T09:32:43Z</cp:lastPrinted>
  <dcterms:created xsi:type="dcterms:W3CDTF">2015-11-19T12:42:38Z</dcterms:created>
  <dcterms:modified xsi:type="dcterms:W3CDTF">2016-12-16T11:02:27Z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0x01010070541A5E5B546C428686F7DC19CE856E</vt:lpwstr>
  </property>
</Properties>
</file>